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Users/felipeborges/Desktop/UNC/Fall 2025/Financial_Modeling/"/>
    </mc:Choice>
  </mc:AlternateContent>
  <xr:revisionPtr revIDLastSave="0" documentId="13_ncr:1_{3666FBFA-48C3-3D4C-818B-C75642687CC3}" xr6:coauthVersionLast="47" xr6:coauthVersionMax="47" xr10:uidLastSave="{00000000-0000-0000-0000-000000000000}"/>
  <bookViews>
    <workbookView xWindow="0" yWindow="740" windowWidth="29400" windowHeight="18380" activeTab="1" xr2:uid="{D2FCB5EE-7CEC-E14F-B113-B01C17B979E2}"/>
    <workbookView xWindow="-4560" yWindow="-21100" windowWidth="38400" windowHeight="21100" xr2:uid="{5A0C466C-35D0-734F-B8A5-A74734F85F57}"/>
  </bookViews>
  <sheets>
    <sheet name="Cost of Capital" sheetId="1" r:id="rId1"/>
    <sheet name="Assumptions" sheetId="7" r:id="rId2"/>
    <sheet name="Pro Forma" sheetId="9" r:id="rId3"/>
    <sheet name="Income" sheetId="4" r:id="rId4"/>
    <sheet name="Cashflow" sheetId="5" r:id="rId5"/>
    <sheet name="Balancesheet" sheetId="6" r:id="rId6"/>
    <sheet name="Yield" sheetId="8" r:id="rId7"/>
    <sheet name="Notes" sheetId="11" r:id="rId8"/>
  </sheets>
  <calcPr calcId="18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9" l="1"/>
  <c r="B51" i="7"/>
  <c r="B57" i="9"/>
  <c r="B86" i="9"/>
  <c r="B85" i="9"/>
  <c r="B84" i="9"/>
  <c r="B83" i="9"/>
  <c r="B81" i="9"/>
  <c r="B80" i="9"/>
  <c r="B78" i="9"/>
  <c r="C68" i="9"/>
  <c r="B75" i="9"/>
  <c r="D67" i="9"/>
  <c r="E67" i="9"/>
  <c r="F67" i="9"/>
  <c r="G67" i="9"/>
  <c r="C67" i="9"/>
  <c r="C64" i="9"/>
  <c r="D64" i="9"/>
  <c r="E64" i="9"/>
  <c r="F64" i="9"/>
  <c r="G64" i="9"/>
  <c r="B64" i="9"/>
  <c r="G68" i="9"/>
  <c r="C71" i="9"/>
  <c r="D71" i="9"/>
  <c r="E71" i="9"/>
  <c r="F71" i="9"/>
  <c r="G71" i="9"/>
  <c r="B71" i="9"/>
  <c r="D66" i="9"/>
  <c r="E66" i="9"/>
  <c r="F66" i="9"/>
  <c r="G66" i="9"/>
  <c r="C66" i="9"/>
  <c r="B66" i="9"/>
  <c r="C40" i="9"/>
  <c r="C65" i="9"/>
  <c r="D65" i="9"/>
  <c r="E65" i="9"/>
  <c r="F65" i="9"/>
  <c r="G65" i="9"/>
  <c r="B65" i="9"/>
  <c r="B43" i="7"/>
  <c r="B27" i="9"/>
  <c r="B50" i="7"/>
  <c r="C51" i="7"/>
  <c r="B49" i="7"/>
  <c r="B42" i="9"/>
  <c r="B40" i="9"/>
  <c r="B44" i="7"/>
  <c r="C44" i="7"/>
  <c r="D44" i="7"/>
  <c r="D43" i="7"/>
  <c r="C43" i="7"/>
  <c r="C41" i="7"/>
  <c r="D41" i="7"/>
  <c r="C42" i="7"/>
  <c r="D42" i="7"/>
  <c r="B42" i="7"/>
  <c r="B41" i="7"/>
  <c r="B46" i="9"/>
  <c r="C46" i="9" s="1"/>
  <c r="D46" i="9" s="1"/>
  <c r="E46" i="9" s="1"/>
  <c r="F46" i="9" s="1"/>
  <c r="G46" i="9" s="1"/>
  <c r="B45" i="9"/>
  <c r="C45" i="9" s="1"/>
  <c r="D45" i="9" s="1"/>
  <c r="E45" i="9" s="1"/>
  <c r="F45" i="9" s="1"/>
  <c r="G45" i="9" s="1"/>
  <c r="B44" i="9"/>
  <c r="C44" i="9" s="1"/>
  <c r="D44" i="9" s="1"/>
  <c r="E44" i="9" s="1"/>
  <c r="F44" i="9" s="1"/>
  <c r="G44" i="9" s="1"/>
  <c r="B43" i="9"/>
  <c r="C43" i="9" s="1"/>
  <c r="D43" i="9" s="1"/>
  <c r="E43" i="9" s="1"/>
  <c r="F43" i="9" s="1"/>
  <c r="G43" i="9" s="1"/>
  <c r="B56" i="9"/>
  <c r="C26" i="7"/>
  <c r="D26" i="7"/>
  <c r="B26" i="7"/>
  <c r="B36" i="9"/>
  <c r="B52" i="9"/>
  <c r="C52" i="9" s="1"/>
  <c r="D52" i="9" s="1"/>
  <c r="E52" i="9" s="1"/>
  <c r="F52" i="9" s="1"/>
  <c r="C39" i="7"/>
  <c r="D39" i="7"/>
  <c r="B39" i="7"/>
  <c r="B41" i="9" s="1"/>
  <c r="D14" i="9"/>
  <c r="E14" i="9" s="1"/>
  <c r="F14" i="9" s="1"/>
  <c r="G14" i="9" s="1"/>
  <c r="D15" i="9"/>
  <c r="E15" i="9" s="1"/>
  <c r="F15" i="9" s="1"/>
  <c r="G15" i="9" s="1"/>
  <c r="D16" i="9"/>
  <c r="E16" i="9" s="1"/>
  <c r="F16" i="9" s="1"/>
  <c r="G16" i="9" s="1"/>
  <c r="B89" i="9" l="1"/>
  <c r="E44" i="7"/>
  <c r="G52" i="9"/>
  <c r="C57" i="7"/>
  <c r="D57" i="7"/>
  <c r="B57" i="7"/>
  <c r="C8" i="9"/>
  <c r="C86" i="7"/>
  <c r="D86" i="7"/>
  <c r="B86" i="7"/>
  <c r="C85" i="7"/>
  <c r="D85" i="7"/>
  <c r="B85" i="7"/>
  <c r="C84" i="7"/>
  <c r="D84" i="7"/>
  <c r="B84" i="7"/>
  <c r="C78" i="7"/>
  <c r="D78" i="7"/>
  <c r="B78" i="7"/>
  <c r="C71" i="7"/>
  <c r="D71" i="7"/>
  <c r="B71" i="7"/>
  <c r="C70" i="7"/>
  <c r="D70" i="7"/>
  <c r="B70" i="7"/>
  <c r="B64" i="7"/>
  <c r="B26" i="9" s="1"/>
  <c r="C64" i="7"/>
  <c r="D64" i="7"/>
  <c r="C56" i="7"/>
  <c r="D56" i="7"/>
  <c r="B56" i="7"/>
  <c r="B37" i="7"/>
  <c r="B3" i="7"/>
  <c r="B24" i="9" s="1"/>
  <c r="B38" i="7" l="1"/>
  <c r="B40" i="7" s="1"/>
  <c r="B29" i="9"/>
  <c r="B87" i="7"/>
  <c r="B58" i="7"/>
  <c r="B25" i="9" s="1"/>
  <c r="D58" i="7"/>
  <c r="C58" i="7"/>
  <c r="B51" i="9"/>
  <c r="D8" i="9"/>
  <c r="E8" i="9" s="1"/>
  <c r="F8" i="9" s="1"/>
  <c r="G8" i="9" s="1"/>
  <c r="B8" i="9"/>
  <c r="D87" i="7"/>
  <c r="C87" i="7"/>
  <c r="C72" i="7"/>
  <c r="D72" i="7"/>
  <c r="B72" i="7"/>
  <c r="E72" i="7" s="1"/>
  <c r="B68" i="9" l="1"/>
  <c r="C69" i="9" s="1"/>
  <c r="C51" i="9"/>
  <c r="D51" i="9" s="1"/>
  <c r="E51" i="9"/>
  <c r="F51" i="9" l="1"/>
  <c r="G51" i="9" l="1"/>
  <c r="D50" i="7" l="1"/>
  <c r="C50" i="7"/>
  <c r="D37" i="7"/>
  <c r="D38" i="7" s="1"/>
  <c r="C37" i="7"/>
  <c r="C38" i="7" s="1"/>
  <c r="C27" i="7"/>
  <c r="D27" i="7"/>
  <c r="B27" i="7"/>
  <c r="B28" i="7" s="1"/>
  <c r="B50" i="9" s="1"/>
  <c r="B53" i="9" s="1"/>
  <c r="C21" i="7"/>
  <c r="D21" i="7"/>
  <c r="B21" i="7"/>
  <c r="C20" i="7"/>
  <c r="D20" i="7"/>
  <c r="B20" i="7"/>
  <c r="C19" i="7"/>
  <c r="D19" i="7"/>
  <c r="B19" i="7"/>
  <c r="C18" i="7"/>
  <c r="D18" i="7"/>
  <c r="B18" i="7"/>
  <c r="B8" i="7"/>
  <c r="B7" i="7"/>
  <c r="B6" i="7"/>
  <c r="B5" i="7"/>
  <c r="D15" i="7" s="1"/>
  <c r="D59" i="7" s="1"/>
  <c r="B4" i="7"/>
  <c r="C15" i="7" s="1"/>
  <c r="C59" i="7" s="1"/>
  <c r="B15" i="7"/>
  <c r="B17" i="1"/>
  <c r="B18" i="1" s="1"/>
  <c r="B13" i="1"/>
  <c r="B12" i="1"/>
  <c r="B3" i="1"/>
  <c r="B8" i="1"/>
  <c r="B59" i="7" l="1"/>
  <c r="B28" i="9"/>
  <c r="C79" i="7"/>
  <c r="C65" i="7"/>
  <c r="E87" i="7"/>
  <c r="C5" i="9" s="1"/>
  <c r="C29" i="9" s="1"/>
  <c r="B65" i="7"/>
  <c r="B79" i="7"/>
  <c r="D79" i="7"/>
  <c r="D65" i="7"/>
  <c r="B29" i="7"/>
  <c r="C28" i="7"/>
  <c r="C29" i="7" s="1"/>
  <c r="D28" i="7"/>
  <c r="D29" i="7" s="1"/>
  <c r="C22" i="7"/>
  <c r="C23" i="7" s="1"/>
  <c r="B22" i="7"/>
  <c r="B37" i="9" s="1"/>
  <c r="B47" i="9" s="1"/>
  <c r="D22" i="7"/>
  <c r="B10" i="7"/>
  <c r="C3" i="9" s="1"/>
  <c r="C24" i="9" s="1"/>
  <c r="B11" i="1"/>
  <c r="B19" i="1"/>
  <c r="C49" i="7" l="1"/>
  <c r="C40" i="7"/>
  <c r="D49" i="7"/>
  <c r="D40" i="7"/>
  <c r="E79" i="7"/>
  <c r="C9" i="9" s="1"/>
  <c r="D9" i="9" s="1"/>
  <c r="E9" i="9" s="1"/>
  <c r="F9" i="9" s="1"/>
  <c r="G9" i="9" s="1"/>
  <c r="E65" i="7"/>
  <c r="C6" i="9" s="1"/>
  <c r="D6" i="9" s="1"/>
  <c r="E6" i="9" s="1"/>
  <c r="F6" i="9" s="1"/>
  <c r="G6" i="9" s="1"/>
  <c r="D3" i="9"/>
  <c r="E3" i="9" s="1"/>
  <c r="F3" i="9" s="1"/>
  <c r="G3" i="9" s="1"/>
  <c r="D5" i="9"/>
  <c r="D29" i="9" s="1"/>
  <c r="B23" i="7"/>
  <c r="B31" i="7"/>
  <c r="B32" i="7" s="1"/>
  <c r="E59" i="7"/>
  <c r="C4" i="9" s="1"/>
  <c r="D23" i="7"/>
  <c r="D31" i="7"/>
  <c r="D32" i="7" s="1"/>
  <c r="C31" i="7"/>
  <c r="C32" i="7" s="1"/>
  <c r="E29" i="7"/>
  <c r="C12" i="9" s="1"/>
  <c r="B20" i="1"/>
  <c r="C39" i="9" l="1"/>
  <c r="C25" i="9"/>
  <c r="D12" i="9"/>
  <c r="E12" i="9" s="1"/>
  <c r="F12" i="9" s="1"/>
  <c r="G12" i="9" s="1"/>
  <c r="C50" i="9"/>
  <c r="C13" i="9"/>
  <c r="C42" i="9" s="1"/>
  <c r="E51" i="7"/>
  <c r="C7" i="9" s="1"/>
  <c r="C27" i="9" s="1"/>
  <c r="E5" i="9"/>
  <c r="E29" i="9" s="1"/>
  <c r="B30" i="9"/>
  <c r="B31" i="9" s="1"/>
  <c r="B32" i="9" s="1"/>
  <c r="C26" i="9"/>
  <c r="D24" i="9"/>
  <c r="D39" i="9" s="1"/>
  <c r="E23" i="7"/>
  <c r="C11" i="9" s="1"/>
  <c r="D4" i="9"/>
  <c r="C41" i="9" l="1"/>
  <c r="C53" i="9"/>
  <c r="D40" i="9"/>
  <c r="D13" i="9"/>
  <c r="E13" i="9" s="1"/>
  <c r="F13" i="9" s="1"/>
  <c r="G13" i="9" s="1"/>
  <c r="D11" i="9"/>
  <c r="E11" i="9" s="1"/>
  <c r="F11" i="9" s="1"/>
  <c r="G11" i="9" s="1"/>
  <c r="C37" i="9"/>
  <c r="D50" i="9"/>
  <c r="D53" i="9" s="1"/>
  <c r="D7" i="9"/>
  <c r="E7" i="9" s="1"/>
  <c r="F7" i="9" s="1"/>
  <c r="G7" i="9" s="1"/>
  <c r="F5" i="9"/>
  <c r="F29" i="9" s="1"/>
  <c r="E4" i="9"/>
  <c r="D25" i="9"/>
  <c r="E24" i="9"/>
  <c r="D26" i="9"/>
  <c r="D37" i="9" l="1"/>
  <c r="D42" i="9"/>
  <c r="E42" i="9"/>
  <c r="E39" i="9"/>
  <c r="E40" i="9" s="1"/>
  <c r="E37" i="9"/>
  <c r="E50" i="9"/>
  <c r="E53" i="9" s="1"/>
  <c r="C28" i="9"/>
  <c r="C30" i="9" s="1"/>
  <c r="G5" i="9"/>
  <c r="G29" i="9" s="1"/>
  <c r="E26" i="9"/>
  <c r="F24" i="9"/>
  <c r="F4" i="9"/>
  <c r="E25" i="9"/>
  <c r="F42" i="9" l="1"/>
  <c r="F39" i="9"/>
  <c r="F40" i="9" s="1"/>
  <c r="F37" i="9"/>
  <c r="F50" i="9"/>
  <c r="F53" i="9" s="1"/>
  <c r="C31" i="9"/>
  <c r="C32" i="9" s="1"/>
  <c r="C56" i="9" s="1"/>
  <c r="G4" i="9"/>
  <c r="F25" i="9"/>
  <c r="G24" i="9"/>
  <c r="F26" i="9"/>
  <c r="C57" i="9" l="1"/>
  <c r="C36" i="9" s="1"/>
  <c r="C47" i="9" s="1"/>
  <c r="G42" i="9"/>
  <c r="G39" i="9"/>
  <c r="G40" i="9" s="1"/>
  <c r="G37" i="9"/>
  <c r="G50" i="9"/>
  <c r="G53" i="9" s="1"/>
  <c r="G26" i="9"/>
  <c r="G25" i="9"/>
  <c r="D27" i="9" l="1"/>
  <c r="D28" i="9" l="1"/>
  <c r="D30" i="9" s="1"/>
  <c r="D31" i="9"/>
  <c r="D32" i="9"/>
  <c r="D56" i="9" s="1"/>
  <c r="D41" i="9"/>
  <c r="E27" i="9"/>
  <c r="D57" i="9" l="1"/>
  <c r="D36" i="9" s="1"/>
  <c r="D47" i="9" s="1"/>
  <c r="D68" i="9"/>
  <c r="D69" i="9" s="1"/>
  <c r="E41" i="9"/>
  <c r="E68" i="9" s="1"/>
  <c r="E28" i="9"/>
  <c r="E30" i="9" s="1"/>
  <c r="E69" i="9" l="1"/>
  <c r="E31" i="9"/>
  <c r="E32" i="9"/>
  <c r="E56" i="9" s="1"/>
  <c r="F27" i="9"/>
  <c r="F28" i="9" l="1"/>
  <c r="F30" i="9" s="1"/>
  <c r="E57" i="9"/>
  <c r="E36" i="9" s="1"/>
  <c r="E47" i="9" s="1"/>
  <c r="F31" i="9"/>
  <c r="F32" i="9" s="1"/>
  <c r="F56" i="9" s="1"/>
  <c r="F41" i="9"/>
  <c r="F57" i="9" l="1"/>
  <c r="F36" i="9" s="1"/>
  <c r="F47" i="9" s="1"/>
  <c r="F68" i="9"/>
  <c r="F69" i="9" s="1"/>
  <c r="G27" i="9"/>
  <c r="G28" i="9" l="1"/>
  <c r="G30" i="9" s="1"/>
  <c r="G31" i="9"/>
  <c r="G32" i="9" s="1"/>
  <c r="G56" i="9" s="1"/>
  <c r="G57" i="9" s="1"/>
  <c r="G36" i="9" s="1"/>
  <c r="G47" i="9" s="1"/>
  <c r="G41" i="9"/>
  <c r="G6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tc={AF4AABF4-C7F5-9942-B92F-724410D27DBD}</author>
  </authors>
  <commentList>
    <comment ref="B32" authorId="0" shapeId="0" xr:uid="{AF4AABF4-C7F5-9942-B92F-724410D27DBD}">
      <text>
        <t>[Threaded comment]
Your version of Excel allows you to read this threaded comment; however, any edits to it will get removed if the file is opened in a newer version of Excel. Learn more: https://go.microsoft.com/fwlink/?linkid=870924
Comment:
    This will NOT match Disney’s reported NI (13,431) because we’re stripping out one-offs (restructuring, equity in investees, weird tax swings) and imposing a clean 24% tax rate.</t>
      </text>
    </comment>
  </commentList>
</comments>
</file>

<file path=xl/sharedStrings.xml><?xml version="1.0" encoding="utf-8"?>
<sst xmlns="http://schemas.openxmlformats.org/spreadsheetml/2006/main" count="530" uniqueCount="265">
  <si>
    <r>
      <t>WACC = W</t>
    </r>
    <r>
      <rPr>
        <b/>
        <vertAlign val="subscript"/>
        <sz val="11"/>
        <color theme="1"/>
        <rFont val="Times New Roman"/>
        <family val="1"/>
      </rPr>
      <t>d</t>
    </r>
    <r>
      <rPr>
        <b/>
        <sz val="11"/>
        <color theme="1"/>
        <rFont val="Times New Roman"/>
        <family val="1"/>
      </rPr>
      <t>*r</t>
    </r>
    <r>
      <rPr>
        <b/>
        <vertAlign val="subscript"/>
        <sz val="11"/>
        <color theme="1"/>
        <rFont val="Times New Roman"/>
        <family val="1"/>
      </rPr>
      <t>d</t>
    </r>
    <r>
      <rPr>
        <b/>
        <sz val="11"/>
        <color theme="1"/>
        <rFont val="Times New Roman"/>
        <family val="1"/>
      </rPr>
      <t>*(1-t) + W</t>
    </r>
    <r>
      <rPr>
        <b/>
        <vertAlign val="subscript"/>
        <sz val="11"/>
        <color theme="1"/>
        <rFont val="Times New Roman"/>
        <family val="1"/>
      </rPr>
      <t>e</t>
    </r>
    <r>
      <rPr>
        <b/>
        <sz val="11"/>
        <color theme="1"/>
        <rFont val="Times New Roman"/>
        <family val="1"/>
      </rPr>
      <t>*r</t>
    </r>
    <r>
      <rPr>
        <b/>
        <vertAlign val="subscript"/>
        <sz val="11"/>
        <color theme="1"/>
        <rFont val="Times New Roman"/>
        <family val="1"/>
      </rPr>
      <t>e</t>
    </r>
  </si>
  <si>
    <t>WACC (r*)</t>
  </si>
  <si>
    <r>
      <t>E/(D+E) (W</t>
    </r>
    <r>
      <rPr>
        <vertAlign val="subscript"/>
        <sz val="11"/>
        <color theme="1"/>
        <rFont val="Times New Roman"/>
        <family val="1"/>
      </rPr>
      <t>e</t>
    </r>
    <r>
      <rPr>
        <sz val="11"/>
        <color theme="1"/>
        <rFont val="Times New Roman"/>
        <family val="1"/>
      </rPr>
      <t>)</t>
    </r>
  </si>
  <si>
    <r>
      <t>D/(D+E) (W</t>
    </r>
    <r>
      <rPr>
        <vertAlign val="subscript"/>
        <sz val="11"/>
        <color theme="1"/>
        <rFont val="Times New Roman"/>
        <family val="1"/>
      </rPr>
      <t>d</t>
    </r>
    <r>
      <rPr>
        <sz val="11"/>
        <color theme="1"/>
        <rFont val="Times New Roman"/>
        <family val="1"/>
      </rPr>
      <t>)</t>
    </r>
  </si>
  <si>
    <t>Value of debt ( D)</t>
  </si>
  <si>
    <t>Value of equity (Market cap) ( E)</t>
  </si>
  <si>
    <t>Weights</t>
  </si>
  <si>
    <t>Income before tax</t>
  </si>
  <si>
    <t>Tax expense</t>
  </si>
  <si>
    <t>Yield</t>
  </si>
  <si>
    <r>
      <t>Cost of debt (r</t>
    </r>
    <r>
      <rPr>
        <b/>
        <vertAlign val="subscript"/>
        <sz val="11"/>
        <color theme="1"/>
        <rFont val="Times New Roman"/>
        <family val="1"/>
      </rPr>
      <t>d</t>
    </r>
    <r>
      <rPr>
        <b/>
        <sz val="11"/>
        <color theme="1"/>
        <rFont val="Times New Roman"/>
        <family val="1"/>
      </rPr>
      <t>)</t>
    </r>
  </si>
  <si>
    <t>https://pages.stern.nyu.edu/~adamodar/</t>
  </si>
  <si>
    <t>Market Risk Premium</t>
  </si>
  <si>
    <t>Risk free rate</t>
  </si>
  <si>
    <t>Equity beta</t>
  </si>
  <si>
    <r>
      <t>CAPM: r</t>
    </r>
    <r>
      <rPr>
        <vertAlign val="subscript"/>
        <sz val="11"/>
        <color theme="1"/>
        <rFont val="Times New Roman"/>
        <family val="1"/>
      </rPr>
      <t>e</t>
    </r>
    <r>
      <rPr>
        <sz val="11"/>
        <color theme="1"/>
        <rFont val="Times New Roman"/>
        <family val="1"/>
      </rPr>
      <t xml:space="preserve"> = r</t>
    </r>
    <r>
      <rPr>
        <vertAlign val="subscript"/>
        <sz val="11"/>
        <color theme="1"/>
        <rFont val="Times New Roman"/>
        <family val="1"/>
      </rPr>
      <t>f</t>
    </r>
    <r>
      <rPr>
        <sz val="11"/>
        <color theme="1"/>
        <rFont val="Times New Roman"/>
        <family val="1"/>
      </rPr>
      <t xml:space="preserve"> + Equity beta * Market risk premium</t>
    </r>
  </si>
  <si>
    <r>
      <t>Cost of equity (r</t>
    </r>
    <r>
      <rPr>
        <b/>
        <vertAlign val="subscript"/>
        <sz val="11"/>
        <color theme="1"/>
        <rFont val="Times New Roman"/>
        <family val="1"/>
      </rPr>
      <t>e</t>
    </r>
    <r>
      <rPr>
        <b/>
        <sz val="11"/>
        <color theme="1"/>
        <rFont val="Times New Roman"/>
        <family val="1"/>
      </rPr>
      <t>) based on CAPM</t>
    </r>
  </si>
  <si>
    <t xml:space="preserve">Cost of Capital </t>
  </si>
  <si>
    <t>https://finance.yahoo.com/quote/DIS/</t>
  </si>
  <si>
    <t>Selling, general, administrative and other</t>
  </si>
  <si>
    <t>Depreciation and amortization</t>
  </si>
  <si>
    <t>Total costs and expenses</t>
  </si>
  <si>
    <t>Restructuring and impairment charges</t>
  </si>
  <si>
    <t>Interest expense, net</t>
  </si>
  <si>
    <t>Income before income taxes</t>
  </si>
  <si>
    <t>Income taxes</t>
  </si>
  <si>
    <t>Net income</t>
  </si>
  <si>
    <t>CONSOLIDATED STATEMENTS OF INCOME - USD ($)</t>
  </si>
  <si>
    <t>shares in Millions, $ in Millions</t>
  </si>
  <si>
    <t>12 Months Ended</t>
  </si>
  <si>
    <t>Sep. 27, 2025</t>
  </si>
  <si>
    <t>Sep. 28, 2024</t>
  </si>
  <si>
    <t>Sep. 30, 2023</t>
  </si>
  <si>
    <t>Revenues</t>
  </si>
  <si>
    <t>Other income (expense), net</t>
  </si>
  <si>
    <t>Equity in the income of investees</t>
  </si>
  <si>
    <t>Net income attributable to noncontrolling and redeemable noncontrolling interests</t>
  </si>
  <si>
    <t>Net income attributable to The Walt Disney Company (Disney)</t>
  </si>
  <si>
    <t>Earnings per share attributable to Disney</t>
  </si>
  <si>
    <t>Diluted</t>
  </si>
  <si>
    <t>Basic</t>
  </si>
  <si>
    <t>Weighted average number of common and common equivalent shares outstanding:</t>
  </si>
  <si>
    <t>Diluted (shares)</t>
  </si>
  <si>
    <t>Basic (shares)</t>
  </si>
  <si>
    <t>Service</t>
  </si>
  <si>
    <t>Cost of Product and Service Sold</t>
  </si>
  <si>
    <t>Product</t>
  </si>
  <si>
    <t>CONSOLIDATED BALANCE SHEETS - USD ($)</t>
  </si>
  <si>
    <t>$ in Millions</t>
  </si>
  <si>
    <t>Current assets</t>
  </si>
  <si>
    <t>Cash and cash equivalents</t>
  </si>
  <si>
    <t>Receivables, net</t>
  </si>
  <si>
    <t>Inventories</t>
  </si>
  <si>
    <t>Content advances</t>
  </si>
  <si>
    <t>Other current assets</t>
  </si>
  <si>
    <t>Total current assets</t>
  </si>
  <si>
    <t>Produced and licensed content costs</t>
  </si>
  <si>
    <t>Investments</t>
  </si>
  <si>
    <t>Attractions, buildings and equipment</t>
  </si>
  <si>
    <t>Accumulated depreciation</t>
  </si>
  <si>
    <t>Parks, resorts and other property, before projects in progress and land, Total</t>
  </si>
  <si>
    <t>Projects in progress</t>
  </si>
  <si>
    <t>Land</t>
  </si>
  <si>
    <t>Parks, resorts and other property</t>
  </si>
  <si>
    <t>Intangible assets, net</t>
  </si>
  <si>
    <t>Goodwill</t>
  </si>
  <si>
    <t>Other assets</t>
  </si>
  <si>
    <t>Total assets</t>
  </si>
  <si>
    <t>Current liabilities</t>
  </si>
  <si>
    <t>Accounts payable and other accrued liabilities</t>
  </si>
  <si>
    <t>Current portion of borrowings</t>
  </si>
  <si>
    <t>Deferred revenue and other</t>
  </si>
  <si>
    <t>Total current liabilities</t>
  </si>
  <si>
    <t>Borrowings</t>
  </si>
  <si>
    <t>Deferred income taxes</t>
  </si>
  <si>
    <t>Other long-term liabilities</t>
  </si>
  <si>
    <t>Commitments and contingencies</t>
  </si>
  <si>
    <t>Equity</t>
  </si>
  <si>
    <t>Preferred stock</t>
  </si>
  <si>
    <t>Common stock, $0.01 par value, Authorized – 4.6 billion shares, Issued – 1.9 billion shares</t>
  </si>
  <si>
    <t>Retained earnings</t>
  </si>
  <si>
    <t>Accumulated other comprehensive loss</t>
  </si>
  <si>
    <t>Treasury stock, at cost, 79 million shares at September 27, 2025 and 47 million shares at September 28, 2024</t>
  </si>
  <si>
    <t>Total Disney Shareholders’ equity</t>
  </si>
  <si>
    <t>Noncontrolling interests</t>
  </si>
  <si>
    <t>Total equity</t>
  </si>
  <si>
    <t>Total liabilities and equity</t>
  </si>
  <si>
    <t>OPERATING ACTIVITIES</t>
  </si>
  <si>
    <t>Impairments of goodwill, produced and licensed content and other assets</t>
  </si>
  <si>
    <t>Cash distributions received from equity investees</t>
  </si>
  <si>
    <t>Net change in produced and licensed content costs and advances</t>
  </si>
  <si>
    <t>Equity-based compensation</t>
  </si>
  <si>
    <t>Other, net</t>
  </si>
  <si>
    <t>Changes in operating assets and liabilities</t>
  </si>
  <si>
    <t>Receivables</t>
  </si>
  <si>
    <t>Accounts payable and other liabilities</t>
  </si>
  <si>
    <t>Cash provided by operations</t>
  </si>
  <si>
    <t>INVESTING ACTIVITIES</t>
  </si>
  <si>
    <t>Investments in parks, resorts and other property</t>
  </si>
  <si>
    <t>Proceeds from sales of investments</t>
  </si>
  <si>
    <t>Purchase of investments</t>
  </si>
  <si>
    <t>Cash used in investing activities</t>
  </si>
  <si>
    <t>FINANCING ACTIVITIES</t>
  </si>
  <si>
    <t>Commercial paper borrowings (payments), net</t>
  </si>
  <si>
    <t>Reduction of borrowings</t>
  </si>
  <si>
    <t>Dividends</t>
  </si>
  <si>
    <t>Repurchases of common stock</t>
  </si>
  <si>
    <t>Contributions from noncontrolling interests</t>
  </si>
  <si>
    <t>Acquisition of redeemable noncontrolling interests</t>
  </si>
  <si>
    <t>Cash used in financing activities</t>
  </si>
  <si>
    <t>Effect of Exchange Rate on Cash, Cash Equivalent, Restricted Cash, and Restricted Cash Equivalent, Including Discontinued Operation</t>
  </si>
  <si>
    <t>Change in Cash, Cash Equivalents and Restricted Cash</t>
  </si>
  <si>
    <t>Cash, cash equivalents and restricted cash, beginning of year</t>
  </si>
  <si>
    <t>Cash, cash equivalents and restricted cash, end of year</t>
  </si>
  <si>
    <t>Supplemental disclosure of cash flow information:</t>
  </si>
  <si>
    <t>Interest paid</t>
  </si>
  <si>
    <t>Income taxes paid</t>
  </si>
  <si>
    <t>Oct. 01, 2022</t>
  </si>
  <si>
    <t>Total income from continuing operations</t>
  </si>
  <si>
    <t>Income taxes on continuing operations</t>
  </si>
  <si>
    <t>Net income from continuing operations</t>
  </si>
  <si>
    <t>Loss from discontinued operations, net of income tax benefit of $0, $0 and $14, respectively</t>
  </si>
  <si>
    <t>Net income from continuing operations attributable to noncontrolling and redeemable noncontrolling interests</t>
  </si>
  <si>
    <t>Continuing Operations, Per Diluted Share</t>
  </si>
  <si>
    <t>Discontinued Operation, Per Diluted Share</t>
  </si>
  <si>
    <t>Continuing Operations, Per Basic Share</t>
  </si>
  <si>
    <t>Discontinued Operation, Per Basic Share</t>
  </si>
  <si>
    <t>Cost of Goods and Services Sold</t>
  </si>
  <si>
    <t>Redeemable noncontrolling interest</t>
  </si>
  <si>
    <t>Common stock, $0.01 par value, Authorized – 4.6 billion shares, Issued – 1.9 billion shares at September 28, 2024 and 1.8 billion shares at September 30, 2023</t>
  </si>
  <si>
    <t>Treasury stock, at cost, 47 million shares at September 28, 2024 and 19 million shares at September 30, 2023</t>
  </si>
  <si>
    <t>Oct. 02, 2021</t>
  </si>
  <si>
    <t>Loss from discontinued operations, net of income tax benefit of $0, $14 and $9, respectively</t>
  </si>
  <si>
    <t>Common stock, $0.01 par value, Authorized – 4.6 billion shares, Issued – 1.8 billion shares</t>
  </si>
  <si>
    <t>Treasury stock, at cost, 19 million shares</t>
  </si>
  <si>
    <t>CONSOLIDATED STATEMENTS OF OPERATIONS - USD ($)</t>
  </si>
  <si>
    <t>Oct. 03, 2020</t>
  </si>
  <si>
    <t>Total income (loss) from continuing operations</t>
  </si>
  <si>
    <t>Net income (loss) from continuing operations</t>
  </si>
  <si>
    <t>Loss from discontinued operations, net of income tax benefit of $14, $9 and $10, respectively</t>
  </si>
  <si>
    <t>Net income (loss)</t>
  </si>
  <si>
    <t>Net income (loss) attributable to The Walt Disney Company (Disney)</t>
  </si>
  <si>
    <t>Tax rate (t)</t>
  </si>
  <si>
    <t>From FINRA</t>
  </si>
  <si>
    <t>10-Yr Bond rate</t>
  </si>
  <si>
    <t>1. Sales Projections</t>
  </si>
  <si>
    <t>Year</t>
  </si>
  <si>
    <t>Revenue ($M)</t>
  </si>
  <si>
    <t>Average growth rate</t>
  </si>
  <si>
    <t>2. Current Assets and Current Liabilities</t>
  </si>
  <si>
    <t>Average</t>
  </si>
  <si>
    <t>Sales</t>
  </si>
  <si>
    <t>Accounts receivable</t>
  </si>
  <si>
    <t>Current assets % of sales</t>
  </si>
  <si>
    <t>Current liabilities % of sales</t>
  </si>
  <si>
    <t>Net working capital (NWC)</t>
  </si>
  <si>
    <t>NWC % of sales</t>
  </si>
  <si>
    <t>Other Current Assets</t>
  </si>
  <si>
    <t>Accounts Payable and other accrued liabilities</t>
  </si>
  <si>
    <t>Content Advances</t>
  </si>
  <si>
    <t>Deferred Revenue and other</t>
  </si>
  <si>
    <t>3. Fixed Assets</t>
  </si>
  <si>
    <t>Net fixed assets % of sales</t>
  </si>
  <si>
    <t>Attractions, buildings, and equipment</t>
  </si>
  <si>
    <t>4. Depreciation</t>
  </si>
  <si>
    <t>Depreciation and amortization (From Cash Flow Statement)</t>
  </si>
  <si>
    <t>Depreciation rate</t>
  </si>
  <si>
    <t>0 actual</t>
  </si>
  <si>
    <t>1 assumption</t>
  </si>
  <si>
    <t>2 assumption</t>
  </si>
  <si>
    <t>3 assumption</t>
  </si>
  <si>
    <t>4 assumption</t>
  </si>
  <si>
    <t>5 assumption</t>
  </si>
  <si>
    <t>CONSOLIDATED STATEMENTS OF CASH FLOWS - USD ($, millions)</t>
  </si>
  <si>
    <t>CONSOLIDATED BALANCE SHEETS - USD ($, millions)</t>
  </si>
  <si>
    <t>CONSOLIDATED STATEMENTS OF INCOME - USD ($, millions)</t>
  </si>
  <si>
    <t>5. COGS</t>
  </si>
  <si>
    <t>6. General and administrative expenses</t>
  </si>
  <si>
    <t>SG&amp;A % of Sales</t>
  </si>
  <si>
    <t>Income before Taxes</t>
  </si>
  <si>
    <t>Income tax expense</t>
  </si>
  <si>
    <t>Effective tax rate</t>
  </si>
  <si>
    <t>7. Tax rate</t>
  </si>
  <si>
    <t>Disney had abnormal tax benefit in 2025; normalized long-run effective tax rate assumed at 24%</t>
  </si>
  <si>
    <t>8. CAPEX</t>
  </si>
  <si>
    <t>CAPEX % of Sales</t>
  </si>
  <si>
    <t>9. Interest</t>
  </si>
  <si>
    <t>Long-term borrowings</t>
  </si>
  <si>
    <t>Interest expense rate</t>
  </si>
  <si>
    <t>Sales growth</t>
  </si>
  <si>
    <t>Interest rate on debt</t>
  </si>
  <si>
    <t>SG$A/Sales</t>
  </si>
  <si>
    <t>Tax rate</t>
  </si>
  <si>
    <t>Current assets / Sales</t>
  </si>
  <si>
    <t>Current liabilities / Sales</t>
  </si>
  <si>
    <t>Net fixed assets / Sales</t>
  </si>
  <si>
    <t>The same</t>
  </si>
  <si>
    <t>Debt</t>
  </si>
  <si>
    <t>Stock</t>
  </si>
  <si>
    <t>Income Statement</t>
  </si>
  <si>
    <t>Costs of goods sold</t>
  </si>
  <si>
    <t>Selling, general and administrative</t>
  </si>
  <si>
    <t>Interest payments on debt</t>
  </si>
  <si>
    <t>Depreciation</t>
  </si>
  <si>
    <t>Profit before tax</t>
  </si>
  <si>
    <t>Profit after tax (net profit)</t>
  </si>
  <si>
    <t>Assumptions</t>
  </si>
  <si>
    <t>COGS % Sales</t>
  </si>
  <si>
    <t>Depreciation rate (Depreciation/PP&amp;E gross last year)</t>
  </si>
  <si>
    <t>EBIT</t>
  </si>
  <si>
    <t>Cost of product sold</t>
  </si>
  <si>
    <t>Cost of service sold</t>
  </si>
  <si>
    <t>Balance Sheet</t>
  </si>
  <si>
    <t>Fixed assets</t>
  </si>
  <si>
    <t>PPE, gross</t>
  </si>
  <si>
    <t>Cash (plug item)</t>
  </si>
  <si>
    <t>Operating current assets</t>
  </si>
  <si>
    <t>Net PPE</t>
  </si>
  <si>
    <t>ASSETS</t>
  </si>
  <si>
    <t>LIABILITIES</t>
  </si>
  <si>
    <t>Other long-term assets</t>
  </si>
  <si>
    <t>Operating current liabilities</t>
  </si>
  <si>
    <t>Total liabilities</t>
  </si>
  <si>
    <t>EQUITY</t>
  </si>
  <si>
    <t>Total liabilities + Equity</t>
  </si>
  <si>
    <t>CAPEX % sales</t>
  </si>
  <si>
    <t>PPE at cost (gross)</t>
  </si>
  <si>
    <t>Total COGS</t>
  </si>
  <si>
    <t>Taxes (24% normalized)</t>
  </si>
  <si>
    <t>CAPEX</t>
  </si>
  <si>
    <t xml:space="preserve">CAPEX pulled from Cashflow statement under investing activities </t>
  </si>
  <si>
    <t>Goodwill &amp; Intangible assets</t>
  </si>
  <si>
    <t>Total NFA</t>
  </si>
  <si>
    <t>Net Fixed Assets</t>
  </si>
  <si>
    <t>Free cash flow and valuation</t>
  </si>
  <si>
    <t xml:space="preserve">Year </t>
  </si>
  <si>
    <t>Free cash flow calculation</t>
  </si>
  <si>
    <t>EBIT(1-tax rate)</t>
  </si>
  <si>
    <t>Plus Depreciation</t>
  </si>
  <si>
    <t>Minus Change in Net Working Capital</t>
  </si>
  <si>
    <t>Free cash flow</t>
  </si>
  <si>
    <t>Net working capital</t>
  </si>
  <si>
    <t>Current assets - Current liabilities</t>
  </si>
  <si>
    <t>Long-term assets</t>
  </si>
  <si>
    <t>Long-term Growth Rate</t>
  </si>
  <si>
    <t>WACC (cost of capital)</t>
  </si>
  <si>
    <t>Enterprise Value Caculation (Assume Mid-year FCF)</t>
  </si>
  <si>
    <t>1. PV of year 1- year5</t>
  </si>
  <si>
    <t>2. PV of terminal value</t>
  </si>
  <si>
    <t xml:space="preserve">Terminal value at year 5 for year 6 and forever </t>
  </si>
  <si>
    <t>Minus Total Debt</t>
  </si>
  <si>
    <t>Add Excess Assets (Investment)</t>
  </si>
  <si>
    <t>Add Cash and marketable securities</t>
  </si>
  <si>
    <t>Equity Value</t>
  </si>
  <si>
    <t>Shares outstainding (millions)</t>
  </si>
  <si>
    <t>Value per share</t>
  </si>
  <si>
    <t>Total COGS % of Sales</t>
  </si>
  <si>
    <t>Minus Capital Expenditure</t>
  </si>
  <si>
    <r>
      <t xml:space="preserve">COGS is modeled using </t>
    </r>
    <r>
      <rPr>
        <b/>
        <sz val="12"/>
        <color theme="1"/>
        <rFont val="Aptos Narrow"/>
        <family val="2"/>
        <scheme val="minor"/>
      </rPr>
      <t>total COGS</t>
    </r>
    <r>
      <rPr>
        <sz val="12"/>
        <color theme="1"/>
        <rFont val="Aptos Narrow"/>
        <family val="2"/>
        <scheme val="minor"/>
      </rPr>
      <t xml:space="preserve"> (Service + Product) divided by total revenue.</t>
    </r>
  </si>
  <si>
    <r>
      <t xml:space="preserve">Depreciation is modeled as </t>
    </r>
    <r>
      <rPr>
        <b/>
        <sz val="12"/>
        <color theme="1"/>
        <rFont val="Aptos Narrow"/>
        <family val="2"/>
        <scheme val="minor"/>
      </rPr>
      <t>Depreciation Expense ÷ Prior-Year PPE Gross</t>
    </r>
    <r>
      <rPr>
        <sz val="12"/>
        <color theme="1"/>
        <rFont val="Aptos Narrow"/>
        <family val="2"/>
        <scheme val="minor"/>
      </rPr>
      <t>.</t>
    </r>
  </si>
  <si>
    <r>
      <t xml:space="preserve">PPE gross includes only </t>
    </r>
    <r>
      <rPr>
        <b/>
        <sz val="12"/>
        <color theme="1"/>
        <rFont val="Aptos Narrow"/>
        <family val="2"/>
        <scheme val="minor"/>
      </rPr>
      <t>Attractions, Buildings &amp; Equipment</t>
    </r>
    <r>
      <rPr>
        <sz val="12"/>
        <color theme="1"/>
        <rFont val="Aptos Narrow"/>
        <family val="2"/>
        <scheme val="minor"/>
      </rPr>
      <t>, consistent with accounting rules.</t>
    </r>
  </si>
  <si>
    <r>
      <t xml:space="preserve">Interest expense is modeled using an </t>
    </r>
    <r>
      <rPr>
        <b/>
        <sz val="12"/>
        <color theme="1"/>
        <rFont val="Aptos Narrow"/>
        <family val="2"/>
        <scheme val="minor"/>
      </rPr>
      <t>effective interest rate on total debt</t>
    </r>
    <r>
      <rPr>
        <sz val="12"/>
        <color theme="1"/>
        <rFont val="Aptos Narrow"/>
        <family val="2"/>
        <scheme val="minor"/>
      </rPr>
      <t>, derived from historical interest expense ÷ total borrowings.</t>
    </r>
  </si>
  <si>
    <t>Cash = Total Liabilities + Equity – All Other Assets</t>
  </si>
  <si>
    <r>
      <t xml:space="preserve">Actual Year-0 PPE uses Disney’s published </t>
    </r>
    <r>
      <rPr>
        <b/>
        <sz val="12"/>
        <color theme="1"/>
        <rFont val="Aptos Narrow"/>
        <family val="2"/>
        <scheme val="minor"/>
      </rPr>
      <t>Net Fixed Assets (“Parks, Resorts and Other Property”)</t>
    </r>
    <r>
      <rPr>
        <sz val="12"/>
        <color theme="1"/>
        <rFont val="Aptos Narrow"/>
        <family val="2"/>
        <scheme val="minor"/>
      </rPr>
      <t>.</t>
    </r>
  </si>
  <si>
    <r>
      <t xml:space="preserve">Produced content, goodwill, intangibles, investments, and other LT assets are </t>
    </r>
    <r>
      <rPr>
        <b/>
        <sz val="12"/>
        <color theme="1"/>
        <rFont val="Aptos Narrow"/>
        <family val="2"/>
        <scheme val="minor"/>
      </rPr>
      <t>held constant</t>
    </r>
    <r>
      <rPr>
        <sz val="12"/>
        <color theme="1"/>
        <rFont val="Aptos Narrow"/>
        <family val="2"/>
        <scheme val="minor"/>
      </rPr>
      <t xml:space="preserve"> in forecast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</si>
</sst>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0.000%"/>
    <numFmt numFmtId="165" formatCode="0.0%"/>
  </numFmts>
  <fonts count="22" x14ac:knownFonts="1">
    <font>
      <sz val="12"/>
      <color theme="1"/>
      <name val="Aptos Narrow"/>
      <family val="2"/>
      <scheme val="minor"/>
    </font>
    <font>
      <b/>
      <sz val="12"/>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sz val="11"/>
      <color rgb="FFFF0000"/>
      <name val="Times New Roman"/>
      <family val="1"/>
    </font>
    <font>
      <b/>
      <vertAlign val="subscript"/>
      <sz val="11"/>
      <color theme="1"/>
      <name val="Times New Roman"/>
      <family val="1"/>
    </font>
    <font>
      <vertAlign val="subscript"/>
      <sz val="11"/>
      <color theme="1"/>
      <name val="Times New Roman"/>
      <family val="1"/>
    </font>
    <font>
      <i/>
      <sz val="11"/>
      <color theme="1"/>
      <name val="Times New Roman"/>
      <family val="1"/>
    </font>
    <font>
      <u/>
      <sz val="11"/>
      <color theme="10"/>
      <name val="Aptos Narrow"/>
      <family val="2"/>
      <scheme val="minor"/>
    </font>
    <font>
      <u/>
      <sz val="11"/>
      <color theme="10"/>
      <name val="Times New Roman"/>
      <family val="1"/>
    </font>
    <font>
      <b/>
      <i/>
      <sz val="11"/>
      <color theme="1"/>
      <name val="Times New Roman"/>
      <family val="1"/>
    </font>
    <font>
      <sz val="10"/>
      <color rgb="FF000000"/>
      <name val="Times New Roman"/>
      <family val="1"/>
    </font>
    <font>
      <b/>
      <sz val="8"/>
      <color rgb="FF000000"/>
      <name val="Helvetica"/>
      <family val="2"/>
    </font>
    <font>
      <sz val="8"/>
      <color rgb="FF000000"/>
      <name val="Helvetica"/>
      <family val="2"/>
    </font>
    <font>
      <sz val="11"/>
      <color rgb="FF000000"/>
      <name val="Times New Roman"/>
      <family val="1"/>
    </font>
    <font>
      <b/>
      <sz val="12"/>
      <color theme="1"/>
      <name val="Aptos Narrow"/>
      <scheme val="minor"/>
    </font>
    <font>
      <sz val="10"/>
      <color theme="1"/>
      <name val="Times New Roman"/>
      <family val="1"/>
    </font>
    <font>
      <sz val="10"/>
      <color rgb="FF232A31"/>
      <name val="Times New Roman"/>
      <family val="1"/>
    </font>
    <font>
      <sz val="12"/>
      <color theme="1"/>
      <name val="Times New Roman"/>
      <family val="1"/>
    </font>
    <font>
      <b/>
      <sz val="12"/>
      <color theme="1"/>
      <name val="Times New Roman"/>
      <family val="1"/>
    </font>
    <font>
      <sz val="10"/>
      <color rgb="FF000000"/>
      <name val="Tahoma"/>
      <family val="2"/>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bgColor indexed="64"/>
      </patternFill>
    </fill>
    <fill>
      <patternFill patternType="solid">
        <fgColor theme="4"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9" fontId="2" fillId="0" borderId="0" applyFont="0" applyFill="0" applyBorder="0" applyAlignment="0" applyProtection="0"/>
    <xf numFmtId="0" fontId="9" fillId="0" borderId="0" applyNumberFormat="0" applyFill="0" applyBorder="0" applyAlignment="0" applyProtection="0"/>
    <xf numFmtId="0" fontId="2" fillId="0" borderId="0"/>
  </cellStyleXfs>
  <cellXfs count="174">
    <xf numFmtId="0" fontId="0" fillId="0" borderId="0" xfId="0"/>
    <xf numFmtId="164" fontId="3" fillId="0" borderId="0" xfId="2" applyNumberFormat="1" applyFont="1" applyFill="1"/>
    <xf numFmtId="10" fontId="3" fillId="0" borderId="0" xfId="2" applyNumberFormat="1" applyFont="1" applyFill="1"/>
    <xf numFmtId="1" fontId="3" fillId="0" borderId="0" xfId="2" applyNumberFormat="1" applyFont="1" applyFill="1"/>
    <xf numFmtId="10" fontId="4" fillId="0" borderId="0" xfId="2" applyNumberFormat="1" applyFont="1" applyFill="1"/>
    <xf numFmtId="10" fontId="4" fillId="2" borderId="1" xfId="2" applyNumberFormat="1" applyFont="1" applyFill="1" applyBorder="1"/>
    <xf numFmtId="10" fontId="3" fillId="0" borderId="1" xfId="2" applyNumberFormat="1" applyFont="1" applyFill="1" applyBorder="1"/>
    <xf numFmtId="10" fontId="3" fillId="0" borderId="0" xfId="2" applyNumberFormat="1" applyFont="1" applyFill="1" applyBorder="1"/>
    <xf numFmtId="0" fontId="10" fillId="0" borderId="0" xfId="3" applyFont="1"/>
    <xf numFmtId="10" fontId="4" fillId="2" borderId="2" xfId="2" applyNumberFormat="1" applyFont="1" applyFill="1" applyBorder="1"/>
    <xf numFmtId="2" fontId="3" fillId="0" borderId="0" xfId="2" applyNumberFormat="1" applyFont="1" applyFill="1"/>
    <xf numFmtId="10" fontId="3" fillId="3" borderId="1" xfId="2" applyNumberFormat="1" applyFont="1" applyFill="1" applyBorder="1"/>
    <xf numFmtId="0" fontId="4" fillId="3" borderId="1" xfId="4" applyFont="1" applyFill="1" applyBorder="1"/>
    <xf numFmtId="0" fontId="3" fillId="0" borderId="0" xfId="4" applyFont="1"/>
    <xf numFmtId="0" fontId="11" fillId="0" borderId="1" xfId="4" applyFont="1" applyBorder="1"/>
    <xf numFmtId="0" fontId="4" fillId="2" borderId="2" xfId="4" applyFont="1" applyFill="1" applyBorder="1"/>
    <xf numFmtId="0" fontId="3" fillId="0" borderId="0" xfId="4" applyFont="1" applyAlignment="1">
      <alignment horizontal="left" indent="1"/>
    </xf>
    <xf numFmtId="0" fontId="8" fillId="0" borderId="0" xfId="4" applyFont="1"/>
    <xf numFmtId="0" fontId="3" fillId="0" borderId="1" xfId="4" applyFont="1" applyBorder="1" applyAlignment="1">
      <alignment horizontal="left" indent="1"/>
    </xf>
    <xf numFmtId="0" fontId="4" fillId="2" borderId="1" xfId="4" applyFont="1" applyFill="1" applyBorder="1"/>
    <xf numFmtId="0" fontId="3" fillId="0" borderId="0" xfId="4" applyFont="1" applyAlignment="1">
      <alignment horizontal="left"/>
    </xf>
    <xf numFmtId="4" fontId="3" fillId="0" borderId="0" xfId="4" applyNumberFormat="1" applyFont="1"/>
    <xf numFmtId="4" fontId="3" fillId="0" borderId="1" xfId="4" applyNumberFormat="1" applyFont="1" applyBorder="1"/>
    <xf numFmtId="0" fontId="4" fillId="0" borderId="2" xfId="4" applyFont="1" applyBorder="1" applyAlignment="1">
      <alignment horizontal="left"/>
    </xf>
    <xf numFmtId="4" fontId="3" fillId="0" borderId="2" xfId="4" applyNumberFormat="1" applyFont="1" applyBorder="1"/>
    <xf numFmtId="6" fontId="3" fillId="0" borderId="0" xfId="4" applyNumberFormat="1" applyFont="1"/>
    <xf numFmtId="0" fontId="3" fillId="0" borderId="1" xfId="4" applyFont="1" applyBorder="1"/>
    <xf numFmtId="0" fontId="4" fillId="0" borderId="0" xfId="4" applyFont="1"/>
    <xf numFmtId="165" fontId="5" fillId="0" borderId="0" xfId="4" applyNumberFormat="1" applyFont="1"/>
    <xf numFmtId="10" fontId="3" fillId="0" borderId="0" xfId="4" applyNumberFormat="1" applyFont="1"/>
    <xf numFmtId="0" fontId="9" fillId="0" borderId="0" xfId="3"/>
    <xf numFmtId="0" fontId="13" fillId="0" borderId="0" xfId="0" applyFont="1"/>
    <xf numFmtId="0" fontId="14" fillId="0" borderId="0" xfId="0" applyFont="1"/>
    <xf numFmtId="6" fontId="14" fillId="0" borderId="0" xfId="0" applyNumberFormat="1" applyFont="1"/>
    <xf numFmtId="3" fontId="14" fillId="0" borderId="0" xfId="0" applyNumberFormat="1" applyFont="1"/>
    <xf numFmtId="8" fontId="14" fillId="0" borderId="0" xfId="0" applyNumberFormat="1" applyFont="1"/>
    <xf numFmtId="0" fontId="13" fillId="0" borderId="0" xfId="0" applyFont="1"/>
    <xf numFmtId="0" fontId="13" fillId="0" borderId="0" xfId="0" applyFont="1" applyAlignment="1"/>
    <xf numFmtId="10" fontId="2" fillId="0" borderId="0" xfId="3" applyNumberFormat="1" applyFont="1" applyFill="1"/>
    <xf numFmtId="0" fontId="4" fillId="2" borderId="2" xfId="0" applyFont="1" applyFill="1" applyBorder="1"/>
    <xf numFmtId="0" fontId="3" fillId="0" borderId="2" xfId="0" applyFont="1" applyBorder="1"/>
    <xf numFmtId="0" fontId="3" fillId="0" borderId="2" xfId="0" applyFont="1" applyBorder="1" applyAlignment="1">
      <alignment horizontal="right"/>
    </xf>
    <xf numFmtId="0" fontId="3" fillId="0" borderId="0" xfId="0" applyFont="1"/>
    <xf numFmtId="0" fontId="3" fillId="0" borderId="3" xfId="0" applyFont="1" applyBorder="1" applyAlignment="1">
      <alignment horizontal="right"/>
    </xf>
    <xf numFmtId="0" fontId="3" fillId="0" borderId="3" xfId="0" applyFont="1" applyBorder="1"/>
    <xf numFmtId="1" fontId="3" fillId="0" borderId="0" xfId="0" applyNumberFormat="1" applyFont="1"/>
    <xf numFmtId="1" fontId="15" fillId="0" borderId="0" xfId="0" applyNumberFormat="1" applyFont="1" applyAlignment="1">
      <alignment horizontal="right" vertical="center" indent="2"/>
    </xf>
    <xf numFmtId="165" fontId="3" fillId="0" borderId="0" xfId="2" applyNumberFormat="1" applyFont="1" applyBorder="1"/>
    <xf numFmtId="165" fontId="3" fillId="0" borderId="0" xfId="0" applyNumberFormat="1" applyFont="1"/>
    <xf numFmtId="1" fontId="3" fillId="0" borderId="1" xfId="0" applyNumberFormat="1" applyFont="1" applyBorder="1"/>
    <xf numFmtId="1" fontId="15" fillId="0" borderId="1" xfId="0" applyNumberFormat="1" applyFont="1" applyBorder="1" applyAlignment="1">
      <alignment horizontal="right" vertical="center" indent="2"/>
    </xf>
    <xf numFmtId="1" fontId="4" fillId="4" borderId="2" xfId="0" applyNumberFormat="1" applyFont="1" applyFill="1" applyBorder="1"/>
    <xf numFmtId="10" fontId="4" fillId="4" borderId="2" xfId="2" applyNumberFormat="1" applyFont="1" applyFill="1" applyBorder="1"/>
    <xf numFmtId="10" fontId="3" fillId="0" borderId="0" xfId="2" applyNumberFormat="1" applyFont="1"/>
    <xf numFmtId="0" fontId="4" fillId="2" borderId="0" xfId="0" applyFont="1" applyFill="1"/>
    <xf numFmtId="1" fontId="4" fillId="2" borderId="2" xfId="0" applyNumberFormat="1" applyFont="1" applyFill="1" applyBorder="1"/>
    <xf numFmtId="0" fontId="4" fillId="4" borderId="2" xfId="0" applyFont="1" applyFill="1" applyBorder="1" applyAlignment="1">
      <alignment horizontal="right"/>
    </xf>
    <xf numFmtId="1" fontId="15" fillId="0" borderId="0" xfId="0" applyNumberFormat="1" applyFont="1" applyAlignment="1">
      <alignment vertical="center"/>
    </xf>
    <xf numFmtId="0" fontId="4" fillId="0" borderId="0" xfId="0" applyFont="1"/>
    <xf numFmtId="0" fontId="3" fillId="0" borderId="1" xfId="0" applyFont="1" applyBorder="1"/>
    <xf numFmtId="1" fontId="15" fillId="0" borderId="1" xfId="0" applyNumberFormat="1" applyFont="1" applyBorder="1" applyAlignment="1">
      <alignment vertical="center"/>
    </xf>
    <xf numFmtId="1" fontId="3" fillId="0" borderId="2" xfId="0" applyNumberFormat="1" applyFont="1" applyBorder="1"/>
    <xf numFmtId="10" fontId="4" fillId="4" borderId="0" xfId="0" applyNumberFormat="1" applyFont="1" applyFill="1"/>
    <xf numFmtId="1" fontId="3" fillId="0" borderId="0" xfId="0" applyNumberFormat="1" applyFont="1" applyAlignment="1">
      <alignment horizontal="right"/>
    </xf>
    <xf numFmtId="3" fontId="15" fillId="0" borderId="0" xfId="0" applyNumberFormat="1" applyFont="1"/>
    <xf numFmtId="0" fontId="4" fillId="0" borderId="1" xfId="0" applyFont="1" applyBorder="1"/>
    <xf numFmtId="1" fontId="4" fillId="0" borderId="1" xfId="0" applyNumberFormat="1" applyFont="1" applyBorder="1"/>
    <xf numFmtId="0" fontId="0" fillId="0" borderId="0" xfId="0" applyAlignment="1"/>
    <xf numFmtId="0" fontId="3" fillId="0" borderId="0" xfId="0" applyFont="1" applyBorder="1"/>
    <xf numFmtId="1" fontId="15" fillId="0" borderId="0" xfId="0" applyNumberFormat="1" applyFont="1" applyBorder="1" applyAlignment="1">
      <alignment vertical="center"/>
    </xf>
    <xf numFmtId="0" fontId="4" fillId="2" borderId="1" xfId="0" applyFont="1" applyFill="1" applyBorder="1"/>
    <xf numFmtId="1" fontId="4" fillId="2" borderId="1" xfId="0" applyNumberFormat="1" applyFont="1" applyFill="1" applyBorder="1"/>
    <xf numFmtId="3" fontId="3" fillId="0" borderId="1" xfId="0" applyNumberFormat="1" applyFont="1" applyBorder="1"/>
    <xf numFmtId="9" fontId="3" fillId="0" borderId="0" xfId="2" applyFont="1"/>
    <xf numFmtId="3" fontId="3" fillId="0" borderId="0" xfId="0" applyNumberFormat="1" applyFont="1"/>
    <xf numFmtId="3" fontId="15" fillId="0" borderId="1" xfId="0" applyNumberFormat="1" applyFont="1" applyBorder="1"/>
    <xf numFmtId="0" fontId="13" fillId="0" borderId="3" xfId="0" applyFont="1" applyBorder="1"/>
    <xf numFmtId="0" fontId="13" fillId="0" borderId="1" xfId="0" applyFont="1" applyBorder="1" applyAlignment="1"/>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3" fontId="3" fillId="0" borderId="0" xfId="0" applyNumberFormat="1" applyFont="1" applyBorder="1"/>
    <xf numFmtId="0" fontId="3" fillId="0" borderId="0" xfId="0" applyFont="1" applyAlignment="1">
      <alignment horizontal="left" indent="1"/>
    </xf>
    <xf numFmtId="0" fontId="3" fillId="0" borderId="1" xfId="0" applyFont="1" applyBorder="1" applyAlignment="1">
      <alignment horizontal="left" indent="1"/>
    </xf>
    <xf numFmtId="0" fontId="4" fillId="0" borderId="0" xfId="0" applyFont="1" applyFill="1" applyBorder="1"/>
    <xf numFmtId="0" fontId="0" fillId="0" borderId="0" xfId="0" applyFont="1"/>
    <xf numFmtId="0" fontId="0" fillId="0" borderId="0" xfId="0" applyAlignment="1">
      <alignment horizontal="left" indent="2"/>
    </xf>
    <xf numFmtId="0" fontId="16" fillId="0" borderId="0" xfId="0" applyFont="1"/>
    <xf numFmtId="44" fontId="14" fillId="0" borderId="0" xfId="0" applyNumberFormat="1" applyFont="1"/>
    <xf numFmtId="41" fontId="14" fillId="0" borderId="0" xfId="0" applyNumberFormat="1" applyFont="1"/>
    <xf numFmtId="41" fontId="14" fillId="0" borderId="1" xfId="0" applyNumberFormat="1" applyFont="1" applyBorder="1"/>
    <xf numFmtId="41" fontId="0" fillId="0" borderId="0" xfId="0" applyNumberFormat="1"/>
    <xf numFmtId="41" fontId="13" fillId="0" borderId="0" xfId="0" applyNumberFormat="1" applyFont="1"/>
    <xf numFmtId="42" fontId="14" fillId="0" borderId="1" xfId="0" applyNumberFormat="1" applyFont="1" applyBorder="1"/>
    <xf numFmtId="41" fontId="3" fillId="0" borderId="2" xfId="0" applyNumberFormat="1" applyFont="1" applyBorder="1"/>
    <xf numFmtId="4" fontId="15" fillId="0" borderId="0" xfId="0" applyNumberFormat="1" applyFont="1"/>
    <xf numFmtId="165" fontId="3" fillId="0" borderId="1" xfId="2" applyNumberFormat="1" applyFont="1" applyFill="1" applyBorder="1" applyAlignment="1"/>
    <xf numFmtId="10" fontId="4" fillId="5" borderId="0" xfId="0" applyNumberFormat="1" applyFont="1" applyFill="1"/>
    <xf numFmtId="165" fontId="3" fillId="5" borderId="1" xfId="2" applyNumberFormat="1" applyFont="1" applyFill="1" applyBorder="1" applyAlignment="1"/>
    <xf numFmtId="0" fontId="4" fillId="2" borderId="3" xfId="0" applyFont="1" applyFill="1" applyBorder="1"/>
    <xf numFmtId="1" fontId="4" fillId="2" borderId="3" xfId="0" applyNumberFormat="1" applyFont="1" applyFill="1" applyBorder="1"/>
    <xf numFmtId="41" fontId="3" fillId="0" borderId="1" xfId="0" applyNumberFormat="1" applyFont="1" applyBorder="1"/>
    <xf numFmtId="0" fontId="3" fillId="0" borderId="0" xfId="0" applyFont="1" applyFill="1" applyBorder="1"/>
    <xf numFmtId="41" fontId="3" fillId="0" borderId="0" xfId="0" applyNumberFormat="1" applyFont="1" applyBorder="1"/>
    <xf numFmtId="41" fontId="3" fillId="0" borderId="0" xfId="0" applyNumberFormat="1" applyFont="1" applyFill="1" applyBorder="1"/>
    <xf numFmtId="0" fontId="0" fillId="0" borderId="1" xfId="0" applyBorder="1"/>
    <xf numFmtId="41" fontId="0" fillId="0" borderId="1" xfId="0" applyNumberFormat="1" applyBorder="1"/>
    <xf numFmtId="3" fontId="12" fillId="0" borderId="0" xfId="0" applyNumberFormat="1" applyFont="1" applyAlignment="1">
      <alignment horizontal="center"/>
    </xf>
    <xf numFmtId="3" fontId="18" fillId="0" borderId="0" xfId="0" applyNumberFormat="1" applyFont="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center"/>
    </xf>
    <xf numFmtId="0" fontId="3" fillId="0" borderId="0" xfId="0" applyFont="1" applyAlignment="1"/>
    <xf numFmtId="165" fontId="3" fillId="0" borderId="0" xfId="0" applyNumberFormat="1" applyFont="1" applyAlignment="1">
      <alignment horizontal="center"/>
    </xf>
    <xf numFmtId="9" fontId="3" fillId="0" borderId="0" xfId="0" applyNumberFormat="1" applyFont="1" applyAlignment="1">
      <alignment horizontal="center"/>
    </xf>
    <xf numFmtId="9" fontId="3" fillId="0" borderId="1" xfId="0" applyNumberFormat="1" applyFont="1" applyBorder="1" applyAlignment="1">
      <alignment horizontal="center"/>
    </xf>
    <xf numFmtId="165" fontId="3" fillId="0" borderId="1" xfId="0" applyNumberFormat="1" applyFont="1" applyBorder="1" applyAlignment="1">
      <alignment horizontal="center"/>
    </xf>
    <xf numFmtId="3" fontId="17" fillId="0" borderId="0" xfId="0" applyNumberFormat="1" applyFont="1" applyAlignment="1">
      <alignment horizontal="center"/>
    </xf>
    <xf numFmtId="0" fontId="4" fillId="0" borderId="0" xfId="0" applyFont="1" applyAlignment="1"/>
    <xf numFmtId="0" fontId="4" fillId="0" borderId="1" xfId="0" applyFont="1" applyBorder="1" applyAlignment="1"/>
    <xf numFmtId="3" fontId="17" fillId="0" borderId="1" xfId="0" applyNumberFormat="1" applyFont="1" applyBorder="1" applyAlignment="1">
      <alignment horizontal="center"/>
    </xf>
    <xf numFmtId="3" fontId="17" fillId="0" borderId="0" xfId="0" applyNumberFormat="1" applyFont="1" applyBorder="1" applyAlignment="1">
      <alignment horizontal="center"/>
    </xf>
    <xf numFmtId="9" fontId="3" fillId="0" borderId="0" xfId="0" applyNumberFormat="1" applyFont="1" applyBorder="1" applyAlignment="1">
      <alignment horizontal="center"/>
    </xf>
    <xf numFmtId="41" fontId="3" fillId="0" borderId="3" xfId="0" applyNumberFormat="1" applyFont="1" applyBorder="1"/>
    <xf numFmtId="1" fontId="3" fillId="0" borderId="0" xfId="0" applyNumberFormat="1" applyFont="1" applyAlignment="1">
      <alignment vertical="center"/>
    </xf>
    <xf numFmtId="0" fontId="3" fillId="0" borderId="0" xfId="0" applyFont="1" applyAlignment="1">
      <alignment horizontal="left" vertical="center" indent="1"/>
    </xf>
    <xf numFmtId="1" fontId="3" fillId="0" borderId="1" xfId="0" applyNumberFormat="1" applyFont="1" applyBorder="1" applyAlignment="1">
      <alignment vertical="center"/>
    </xf>
    <xf numFmtId="3" fontId="4" fillId="0" borderId="0" xfId="0" applyNumberFormat="1" applyFont="1" applyFill="1" applyBorder="1"/>
    <xf numFmtId="1" fontId="3" fillId="0" borderId="0" xfId="0" applyNumberFormat="1" applyFont="1" applyFill="1" applyAlignment="1">
      <alignment vertical="center"/>
    </xf>
    <xf numFmtId="1" fontId="3" fillId="0" borderId="0" xfId="0" applyNumberFormat="1" applyFont="1" applyFill="1"/>
    <xf numFmtId="0" fontId="19" fillId="0" borderId="0" xfId="0" applyFont="1" applyAlignment="1">
      <alignment horizontal="left" indent="1"/>
    </xf>
    <xf numFmtId="0" fontId="4" fillId="0" borderId="0" xfId="0" applyFont="1" applyFill="1" applyBorder="1" applyAlignment="1"/>
    <xf numFmtId="0" fontId="20" fillId="0" borderId="0" xfId="0" applyFont="1"/>
    <xf numFmtId="0" fontId="19" fillId="0" borderId="0" xfId="0" applyFont="1" applyAlignment="1">
      <alignment horizontal="left"/>
    </xf>
    <xf numFmtId="3" fontId="4" fillId="0" borderId="0" xfId="0" applyNumberFormat="1" applyFont="1"/>
    <xf numFmtId="3" fontId="4" fillId="0" borderId="1" xfId="0" applyNumberFormat="1" applyFont="1" applyBorder="1"/>
    <xf numFmtId="0" fontId="3" fillId="2" borderId="0" xfId="0" applyFont="1" applyFill="1"/>
    <xf numFmtId="0" fontId="3" fillId="2" borderId="0" xfId="0" applyFont="1" applyFill="1" applyAlignment="1">
      <alignment horizontal="center"/>
    </xf>
    <xf numFmtId="0" fontId="0" fillId="2" borderId="0" xfId="0" applyFill="1"/>
    <xf numFmtId="0" fontId="4" fillId="0" borderId="1" xfId="0" applyFont="1" applyBorder="1" applyAlignment="1">
      <alignment vertic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3" fillId="0" borderId="0" xfId="0" applyFont="1" applyAlignment="1">
      <alignment horizontal="center"/>
    </xf>
    <xf numFmtId="4" fontId="3" fillId="0" borderId="1" xfId="0" applyNumberFormat="1" applyFont="1" applyBorder="1" applyAlignment="1">
      <alignment horizontal="right"/>
    </xf>
    <xf numFmtId="1" fontId="3" fillId="0" borderId="1" xfId="0" applyNumberFormat="1" applyFont="1" applyBorder="1" applyAlignment="1">
      <alignment horizontal="right"/>
    </xf>
    <xf numFmtId="0" fontId="4" fillId="4" borderId="0" xfId="0" applyFont="1" applyFill="1" applyAlignment="1">
      <alignment horizontal="left"/>
    </xf>
    <xf numFmtId="1" fontId="4" fillId="4" borderId="0" xfId="0" applyNumberFormat="1" applyFont="1" applyFill="1" applyAlignment="1">
      <alignment horizontal="right"/>
    </xf>
    <xf numFmtId="165" fontId="3" fillId="0" borderId="0" xfId="2" applyNumberFormat="1" applyFont="1" applyAlignment="1">
      <alignment horizontal="right"/>
    </xf>
    <xf numFmtId="0" fontId="3" fillId="0" borderId="1" xfId="0" applyFont="1" applyBorder="1" applyAlignment="1">
      <alignment horizontal="center"/>
    </xf>
    <xf numFmtId="1" fontId="3" fillId="0" borderId="2" xfId="0" applyNumberFormat="1" applyFont="1" applyBorder="1" applyAlignment="1">
      <alignment horizontal="center"/>
    </xf>
    <xf numFmtId="0" fontId="4" fillId="6" borderId="1" xfId="0" applyFont="1" applyFill="1" applyBorder="1" applyAlignment="1">
      <alignment horizontal="center" vertical="top"/>
    </xf>
    <xf numFmtId="0" fontId="4" fillId="6" borderId="1" xfId="0" applyFont="1" applyFill="1" applyBorder="1" applyAlignment="1">
      <alignment horizontal="centerContinuous" vertical="center"/>
    </xf>
    <xf numFmtId="0" fontId="0" fillId="6" borderId="0" xfId="0" applyFill="1" applyAlignment="1"/>
    <xf numFmtId="0" fontId="4" fillId="6" borderId="1" xfId="0" applyFont="1" applyFill="1" applyBorder="1" applyAlignment="1"/>
    <xf numFmtId="0" fontId="4" fillId="6" borderId="1" xfId="0" applyFont="1" applyFill="1" applyBorder="1"/>
    <xf numFmtId="0" fontId="3" fillId="6" borderId="1" xfId="0" applyFont="1" applyFill="1" applyBorder="1"/>
    <xf numFmtId="0" fontId="0" fillId="6" borderId="1" xfId="0" applyFill="1" applyBorder="1"/>
    <xf numFmtId="3" fontId="18" fillId="0" borderId="1" xfId="0" applyNumberFormat="1" applyFont="1" applyBorder="1" applyAlignment="1">
      <alignment horizontal="center"/>
    </xf>
    <xf numFmtId="3" fontId="12" fillId="0" borderId="1" xfId="0" applyNumberFormat="1" applyFont="1" applyBorder="1" applyAlignment="1">
      <alignment horizontal="center"/>
    </xf>
    <xf numFmtId="0" fontId="3" fillId="0" borderId="0" xfId="0" applyFont="1" applyBorder="1" applyAlignment="1">
      <alignment vertical="center"/>
    </xf>
    <xf numFmtId="165" fontId="3" fillId="0" borderId="0" xfId="0" applyNumberFormat="1" applyFont="1" applyBorder="1" applyAlignment="1">
      <alignment horizontal="center"/>
    </xf>
    <xf numFmtId="0" fontId="0" fillId="0" borderId="1" xfId="0" applyBorder="1" applyAlignment="1"/>
    <xf numFmtId="165" fontId="3" fillId="0" borderId="3" xfId="0" applyNumberFormat="1" applyFont="1" applyBorder="1"/>
    <xf numFmtId="10" fontId="4" fillId="2" borderId="1" xfId="0" applyNumberFormat="1" applyFont="1" applyFill="1" applyBorder="1"/>
    <xf numFmtId="0" fontId="4" fillId="4" borderId="2" xfId="0" applyFont="1" applyFill="1" applyBorder="1"/>
    <xf numFmtId="6" fontId="4" fillId="4" borderId="2" xfId="0" applyNumberFormat="1" applyFont="1" applyFill="1" applyBorder="1"/>
    <xf numFmtId="6" fontId="3" fillId="0" borderId="0" xfId="0" applyNumberFormat="1" applyFont="1"/>
    <xf numFmtId="6" fontId="3" fillId="0" borderId="1" xfId="0" applyNumberFormat="1" applyFont="1" applyBorder="1"/>
    <xf numFmtId="0" fontId="4" fillId="4" borderId="0" xfId="0" applyFont="1" applyFill="1"/>
    <xf numFmtId="6" fontId="4" fillId="4" borderId="0" xfId="0" applyNumberFormat="1" applyFont="1" applyFill="1"/>
    <xf numFmtId="0" fontId="4" fillId="4" borderId="1" xfId="0" applyFont="1" applyFill="1" applyBorder="1"/>
    <xf numFmtId="8" fontId="4" fillId="4" borderId="1" xfId="0" applyNumberFormat="1" applyFont="1" applyFill="1" applyBorder="1"/>
    <xf numFmtId="0" fontId="1" fillId="0" borderId="0" xfId="0" applyFont="1"/>
  </cellXfs>
  <cellStyles count="5">
    <cellStyle name="Hyperlink" xfId="3" builtinId="8"/>
    <cellStyle name="Normal" xfId="0" builtinId="0"/>
    <cellStyle name="Normal 2" xfId="1" xr:uid="{982D7E7B-DA1E-A841-B91D-12E26271E62C}"/>
    <cellStyle name="Normal 2 2" xfId="4" xr:uid="{5B9D33AC-D174-0648-80C4-9922BFA73345}"/>
    <cellStyle name="Percent 2" xfId="2" xr:uid="{8E186D70-27C3-BB41-A4C2-80D233C61916}"/>
  </cellStyles>
  <dxfs count="14">
    <dxf>
      <font>
        <b/>
        <i val="0"/>
        <strike val="0"/>
        <condense val="0"/>
        <extend val="0"/>
        <outline val="0"/>
        <shadow val="0"/>
        <u val="none"/>
        <vertAlign val="baseline"/>
        <sz val="8"/>
        <color rgb="FF000000"/>
        <name val="Helvetica"/>
        <family val="2"/>
        <scheme val="none"/>
      </font>
    </dxf>
    <dxf>
      <font>
        <strike val="0"/>
        <outline val="0"/>
        <shadow val="0"/>
        <u val="none"/>
        <vertAlign val="baseline"/>
        <sz val="12"/>
        <color theme="1"/>
        <name val="Aptos Narrow"/>
        <family val="2"/>
        <scheme val="minor"/>
      </font>
    </dxf>
    <dxf>
      <font>
        <b val="0"/>
        <i val="0"/>
        <strike val="0"/>
        <condense val="0"/>
        <extend val="0"/>
        <outline val="0"/>
        <shadow val="0"/>
        <u val="none"/>
        <vertAlign val="baseline"/>
        <sz val="8"/>
        <color rgb="FF000000"/>
        <name val="Helvetica"/>
        <family val="2"/>
        <scheme val="none"/>
      </font>
      <numFmt numFmtId="3" formatCode="#,##0"/>
    </dxf>
    <dxf>
      <font>
        <b/>
        <i val="0"/>
        <strike val="0"/>
        <condense val="0"/>
        <extend val="0"/>
        <outline val="0"/>
        <shadow val="0"/>
        <u val="none"/>
        <vertAlign val="baseline"/>
        <sz val="8"/>
        <color rgb="FF000000"/>
        <name val="Helvetica"/>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rgb="FF000000"/>
        <name val="Helvetica"/>
        <family val="2"/>
        <scheme val="none"/>
      </font>
    </dxf>
    <dxf>
      <font>
        <b val="0"/>
        <i val="0"/>
        <strike val="0"/>
        <condense val="0"/>
        <extend val="0"/>
        <outline val="0"/>
        <shadow val="0"/>
        <u val="none"/>
        <vertAlign val="baseline"/>
        <sz val="8"/>
        <color rgb="FF000000"/>
        <name val="Helvetica"/>
        <family val="2"/>
        <scheme val="none"/>
      </font>
      <numFmt numFmtId="3" formatCode="#,##0"/>
    </dxf>
    <dxf>
      <font>
        <b val="0"/>
        <i val="0"/>
        <strike val="0"/>
        <condense val="0"/>
        <extend val="0"/>
        <outline val="0"/>
        <shadow val="0"/>
        <u val="none"/>
        <vertAlign val="baseline"/>
        <sz val="8"/>
        <color rgb="FF000000"/>
        <name val="Helvetica"/>
        <family val="2"/>
        <scheme val="none"/>
      </font>
      <numFmt numFmtId="3" formatCode="#,##0"/>
    </dxf>
    <dxf>
      <font>
        <b val="0"/>
        <i val="0"/>
        <strike val="0"/>
        <condense val="0"/>
        <extend val="0"/>
        <outline val="0"/>
        <shadow val="0"/>
        <u val="none"/>
        <vertAlign val="baseline"/>
        <sz val="8"/>
        <color rgb="FF000000"/>
        <name val="Helvetica"/>
        <family val="2"/>
        <scheme val="none"/>
      </font>
      <numFmt numFmtId="3" formatCode="#,##0"/>
    </dxf>
    <dxf>
      <font>
        <b val="0"/>
        <i val="0"/>
        <strike val="0"/>
        <condense val="0"/>
        <extend val="0"/>
        <outline val="0"/>
        <shadow val="0"/>
        <u val="none"/>
        <vertAlign val="baseline"/>
        <sz val="8"/>
        <color rgb="FF000000"/>
        <name val="Helvetica"/>
        <family val="2"/>
        <scheme val="none"/>
      </font>
      <numFmt numFmtId="3" formatCode="#,##0"/>
    </dxf>
    <dxf>
      <font>
        <b/>
        <i val="0"/>
        <strike val="0"/>
        <condense val="0"/>
        <extend val="0"/>
        <outline val="0"/>
        <shadow val="0"/>
        <u val="none"/>
        <vertAlign val="baseline"/>
        <sz val="8"/>
        <color rgb="FF000000"/>
        <name val="Helvetica"/>
        <family val="2"/>
        <scheme val="none"/>
      </font>
    </dxf>
    <dxf>
      <font>
        <b val="0"/>
        <i val="0"/>
        <strike val="0"/>
        <condense val="0"/>
        <extend val="0"/>
        <outline val="0"/>
        <shadow val="0"/>
        <u val="none"/>
        <vertAlign val="baseline"/>
        <sz val="8"/>
        <color rgb="FF000000"/>
        <name val="Helvetica"/>
        <family val="2"/>
        <scheme val="none"/>
      </font>
    </dxf>
    <dxf>
      <font>
        <b val="0"/>
        <i val="0"/>
        <strike val="0"/>
        <condense val="0"/>
        <extend val="0"/>
        <outline val="0"/>
        <shadow val="0"/>
        <u val="none"/>
        <vertAlign val="baseline"/>
        <sz val="8"/>
        <color rgb="FF000000"/>
        <name val="Helvetica"/>
        <family val="2"/>
        <scheme val="none"/>
      </font>
      <numFmt numFmtId="3" formatCode="#,##0"/>
    </dxf>
    <dxf>
      <font>
        <b val="0"/>
        <i val="0"/>
        <strike val="0"/>
        <condense val="0"/>
        <extend val="0"/>
        <outline val="0"/>
        <shadow val="0"/>
        <u val="none"/>
        <vertAlign val="baseline"/>
        <sz val="8"/>
        <color rgb="FF000000"/>
        <name val="Helvetica"/>
        <family val="2"/>
        <scheme val="none"/>
      </font>
      <numFmt numFmtId="3" formatCode="#,##0"/>
    </dxf>
    <dxf>
      <font>
        <b val="0"/>
        <i val="0"/>
        <strike val="0"/>
        <condense val="0"/>
        <extend val="0"/>
        <outline val="0"/>
        <shadow val="0"/>
        <u val="none"/>
        <vertAlign val="baseline"/>
        <sz val="8"/>
        <color rgb="FF000000"/>
        <name val="Helvetica"/>
        <family val="2"/>
        <scheme val="none"/>
      </font>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165100</xdr:colOff>
      <xdr:row>1</xdr:row>
      <xdr:rowOff>63500</xdr:rowOff>
    </xdr:from>
    <xdr:to>
      <xdr:col>6</xdr:col>
      <xdr:colOff>1022427</xdr:colOff>
      <xdr:row>16</xdr:row>
      <xdr:rowOff>152400</xdr:rowOff>
    </xdr:to>
    <xdr:pic>
      <xdr:nvPicPr>
        <xdr:cNvPr id="3" name="Picture 2">
          <a:extLst>
            <a:ext uri="{FF2B5EF4-FFF2-40B4-BE49-F238E27FC236}">
              <a16:creationId xmlns:a16="http://schemas.microsoft.com/office/drawing/2014/main" id="{E024CBED-5270-97F9-FFB8-2A19CDA35766}"/>
            </a:ext>
          </a:extLst>
        </xdr:cNvPr>
        <xdr:cNvPicPr>
          <a:picLocks noChangeAspect="1"/>
        </xdr:cNvPicPr>
      </xdr:nvPicPr>
      <xdr:blipFill>
        <a:blip xmlns:r="http://schemas.openxmlformats.org/officeDocument/2006/relationships" r:embed="rId1"/>
        <a:stretch>
          <a:fillRect/>
        </a:stretch>
      </xdr:blipFill>
      <xdr:spPr>
        <a:xfrm>
          <a:off x="8343900" y="241300"/>
          <a:ext cx="1962227" cy="2908300"/>
        </a:xfrm>
        <a:prstGeom prst="rect">
          <a:avLst/>
        </a:prstGeom>
      </xdr:spPr>
    </xdr:pic>
    <xdr:clientData/>
  </xdr:twoCellAnchor>
  <xdr:twoCellAnchor editAs="oneCell">
    <xdr:from>
      <xdr:col>4</xdr:col>
      <xdr:colOff>723900</xdr:colOff>
      <xdr:row>18</xdr:row>
      <xdr:rowOff>0</xdr:rowOff>
    </xdr:from>
    <xdr:to>
      <xdr:col>7</xdr:col>
      <xdr:colOff>469900</xdr:colOff>
      <xdr:row>22</xdr:row>
      <xdr:rowOff>12700</xdr:rowOff>
    </xdr:to>
    <xdr:pic>
      <xdr:nvPicPr>
        <xdr:cNvPr id="4" name="Picture 3">
          <a:extLst>
            <a:ext uri="{FF2B5EF4-FFF2-40B4-BE49-F238E27FC236}">
              <a16:creationId xmlns:a16="http://schemas.microsoft.com/office/drawing/2014/main" id="{0B732D63-7FA2-95DF-2131-7BEDB721F969}"/>
            </a:ext>
          </a:extLst>
        </xdr:cNvPr>
        <xdr:cNvPicPr>
          <a:picLocks noChangeAspect="1"/>
        </xdr:cNvPicPr>
      </xdr:nvPicPr>
      <xdr:blipFill>
        <a:blip xmlns:r="http://schemas.openxmlformats.org/officeDocument/2006/relationships" r:embed="rId2"/>
        <a:stretch>
          <a:fillRect/>
        </a:stretch>
      </xdr:blipFill>
      <xdr:spPr>
        <a:xfrm>
          <a:off x="7708900" y="3365500"/>
          <a:ext cx="3136900" cy="825500"/>
        </a:xfrm>
        <a:prstGeom prst="rect">
          <a:avLst/>
        </a:prstGeom>
      </xdr:spPr>
    </xdr:pic>
    <xdr:clientData/>
  </xdr:twoCellAnchor>
  <xdr:twoCellAnchor editAs="oneCell">
    <xdr:from>
      <xdr:col>4</xdr:col>
      <xdr:colOff>469900</xdr:colOff>
      <xdr:row>22</xdr:row>
      <xdr:rowOff>76200</xdr:rowOff>
    </xdr:from>
    <xdr:to>
      <xdr:col>8</xdr:col>
      <xdr:colOff>190500</xdr:colOff>
      <xdr:row>25</xdr:row>
      <xdr:rowOff>12700</xdr:rowOff>
    </xdr:to>
    <xdr:pic>
      <xdr:nvPicPr>
        <xdr:cNvPr id="5" name="Picture 4">
          <a:extLst>
            <a:ext uri="{FF2B5EF4-FFF2-40B4-BE49-F238E27FC236}">
              <a16:creationId xmlns:a16="http://schemas.microsoft.com/office/drawing/2014/main" id="{904DBFC6-14D2-3309-C88A-5D24D96849F5}"/>
            </a:ext>
          </a:extLst>
        </xdr:cNvPr>
        <xdr:cNvPicPr>
          <a:picLocks noChangeAspect="1"/>
        </xdr:cNvPicPr>
      </xdr:nvPicPr>
      <xdr:blipFill>
        <a:blip xmlns:r="http://schemas.openxmlformats.org/officeDocument/2006/relationships" r:embed="rId3"/>
        <a:stretch>
          <a:fillRect/>
        </a:stretch>
      </xdr:blipFill>
      <xdr:spPr>
        <a:xfrm>
          <a:off x="7454900" y="4267200"/>
          <a:ext cx="3771900"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660400</xdr:colOff>
      <xdr:row>22</xdr:row>
      <xdr:rowOff>25400</xdr:rowOff>
    </xdr:from>
    <xdr:to>
      <xdr:col>13</xdr:col>
      <xdr:colOff>63500</xdr:colOff>
      <xdr:row>26</xdr:row>
      <xdr:rowOff>114300</xdr:rowOff>
    </xdr:to>
    <xdr:sp macro="" textlink="">
      <xdr:nvSpPr>
        <xdr:cNvPr id="3" name="TextBox 2">
          <a:extLst>
            <a:ext uri="{FF2B5EF4-FFF2-40B4-BE49-F238E27FC236}">
              <a16:creationId xmlns:a16="http://schemas.microsoft.com/office/drawing/2014/main" id="{4A3CBC7A-B739-6443-7631-FFA600C8E38B}"/>
            </a:ext>
          </a:extLst>
        </xdr:cNvPr>
        <xdr:cNvSpPr txBox="1"/>
      </xdr:nvSpPr>
      <xdr:spPr>
        <a:xfrm>
          <a:off x="9029700" y="4495800"/>
          <a:ext cx="3594100" cy="90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r>
            <a:rPr lang="en-US" sz="1100" baseline="0"/>
            <a:t> </a:t>
          </a:r>
          <a:r>
            <a:rPr lang="en-US"/>
            <a:t>Disney suspended dividends during the historical period. Because dividends do not impact FCFF and are not part of the company’s current capital allocation policy, we assume zero dividends in the projection period.</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406400</xdr:colOff>
      <xdr:row>3</xdr:row>
      <xdr:rowOff>152400</xdr:rowOff>
    </xdr:from>
    <xdr:to>
      <xdr:col>9</xdr:col>
      <xdr:colOff>749300</xdr:colOff>
      <xdr:row>20</xdr:row>
      <xdr:rowOff>57808</xdr:rowOff>
    </xdr:to>
    <xdr:pic>
      <xdr:nvPicPr>
        <xdr:cNvPr id="2" name="Picture 1">
          <a:extLst>
            <a:ext uri="{FF2B5EF4-FFF2-40B4-BE49-F238E27FC236}">
              <a16:creationId xmlns:a16="http://schemas.microsoft.com/office/drawing/2014/main" id="{752206E4-ABDB-1B96-0471-923ABD3757FD}"/>
            </a:ext>
          </a:extLst>
        </xdr:cNvPr>
        <xdr:cNvPicPr>
          <a:picLocks noChangeAspect="1"/>
        </xdr:cNvPicPr>
      </xdr:nvPicPr>
      <xdr:blipFill>
        <a:blip xmlns:r="http://schemas.openxmlformats.org/officeDocument/2006/relationships" r:embed="rId1"/>
        <a:stretch>
          <a:fillRect/>
        </a:stretch>
      </xdr:blipFill>
      <xdr:spPr>
        <a:xfrm>
          <a:off x="406400" y="762000"/>
          <a:ext cx="7772400" cy="3359808"/>
        </a:xfrm>
        <a:prstGeom prst="rect">
          <a:avLst/>
        </a:prstGeom>
      </xdr:spPr>
    </xdr:pic>
    <xdr:clientData/>
  </xdr:twoCellAnchor>
  <xdr:twoCellAnchor>
    <xdr:from>
      <xdr:col>0</xdr:col>
      <xdr:colOff>787400</xdr:colOff>
      <xdr:row>10</xdr:row>
      <xdr:rowOff>25400</xdr:rowOff>
    </xdr:from>
    <xdr:to>
      <xdr:col>9</xdr:col>
      <xdr:colOff>571500</xdr:colOff>
      <xdr:row>14</xdr:row>
      <xdr:rowOff>25400</xdr:rowOff>
    </xdr:to>
    <xdr:sp macro="" textlink="">
      <xdr:nvSpPr>
        <xdr:cNvPr id="3" name="Rectangle 2">
          <a:extLst>
            <a:ext uri="{FF2B5EF4-FFF2-40B4-BE49-F238E27FC236}">
              <a16:creationId xmlns:a16="http://schemas.microsoft.com/office/drawing/2014/main" id="{C9124375-D5E5-0D53-6BA2-2D796BE3EE50}"/>
            </a:ext>
          </a:extLst>
        </xdr:cNvPr>
        <xdr:cNvSpPr/>
      </xdr:nvSpPr>
      <xdr:spPr>
        <a:xfrm>
          <a:off x="787400" y="2057400"/>
          <a:ext cx="7213600" cy="81280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241300</xdr:colOff>
      <xdr:row>1</xdr:row>
      <xdr:rowOff>50800</xdr:rowOff>
    </xdr:from>
    <xdr:ext cx="8318500" cy="3414909"/>
    <xdr:sp macro="" textlink="">
      <xdr:nvSpPr>
        <xdr:cNvPr id="2" name="TextBox 1">
          <a:extLst>
            <a:ext uri="{FF2B5EF4-FFF2-40B4-BE49-F238E27FC236}">
              <a16:creationId xmlns:a16="http://schemas.microsoft.com/office/drawing/2014/main" id="{77937E4F-5547-0AF4-EEC1-8FD0E32F5709}"/>
            </a:ext>
          </a:extLst>
        </xdr:cNvPr>
        <xdr:cNvSpPr txBox="1"/>
      </xdr:nvSpPr>
      <xdr:spPr>
        <a:xfrm>
          <a:off x="241300" y="254000"/>
          <a:ext cx="8318500" cy="341490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800">
              <a:latin typeface="Times New Roman" panose="02020603050405020304" pitchFamily="18" charset="0"/>
              <a:cs typeface="Times New Roman" panose="02020603050405020304" pitchFamily="18" charset="0"/>
            </a:rPr>
            <a:t>This valuation applies a fully integrated discounted cash flow (DCF) framework to estimate the intrinsic value of The Walt Disney Company. The model begins by normalizing and reorganizing Disney’s 2025 financials to establish a consistent base year. Revenue growth in the forecast period is driven by Disney’s five-year historical CAGR, while operating performance is projected using stable margin drivers such as the historical averages of total COGS as a percentage of sales and SG&amp;A as a percentage of sales. Depreciation is modeled as a function of prior-year gross PPE in order to reflect the economic consumption of fixed assets, and capital expenditures scale with revenue based on recent investment intensity. Operating working capital is linked to sales through historical working capital ratios, ensuring that changes in liquidity needs flow directly into free cash flow.</a:t>
          </a:r>
        </a:p>
        <a:p>
          <a:pPr marL="0" marR="0" lvl="0" indent="0" defTabSz="914400" eaLnBrk="1" fontAlgn="auto" latinLnBrk="0" hangingPunct="1">
            <a:lnSpc>
              <a:spcPct val="100000"/>
            </a:lnSpc>
            <a:spcBef>
              <a:spcPts val="0"/>
            </a:spcBef>
            <a:spcAft>
              <a:spcPts val="0"/>
            </a:spcAft>
            <a:buClrTx/>
            <a:buSzTx/>
            <a:buFontTx/>
            <a:buNone/>
            <a:tabLst/>
            <a:defRPr/>
          </a:pPr>
          <a:endParaRPr lang="en-US" sz="1800">
            <a:latin typeface="Times New Roman" panose="02020603050405020304" pitchFamily="18" charset="0"/>
            <a:cs typeface="Times New Roman" panose="02020603050405020304" pitchFamily="18" charset="0"/>
          </a:endParaRPr>
        </a:p>
        <a:p>
          <a:endParaRPr lang="en-US" sz="1800">
            <a:latin typeface="Times New Roman" panose="02020603050405020304" pitchFamily="18" charset="0"/>
            <a:cs typeface="Times New Roman" panose="02020603050405020304" pitchFamily="18" charset="0"/>
          </a:endParaRPr>
        </a:p>
      </xdr:txBody>
    </xdr:sp>
    <xdr:clientData/>
  </xdr:oneCellAnchor>
  <xdr:oneCellAnchor>
    <xdr:from>
      <xdr:col>0</xdr:col>
      <xdr:colOff>241300</xdr:colOff>
      <xdr:row>18</xdr:row>
      <xdr:rowOff>190500</xdr:rowOff>
    </xdr:from>
    <xdr:ext cx="8318500" cy="3165354"/>
    <xdr:sp macro="" textlink="">
      <xdr:nvSpPr>
        <xdr:cNvPr id="3" name="TextBox 2">
          <a:extLst>
            <a:ext uri="{FF2B5EF4-FFF2-40B4-BE49-F238E27FC236}">
              <a16:creationId xmlns:a16="http://schemas.microsoft.com/office/drawing/2014/main" id="{D53DEF99-DFE3-C440-8093-B3CFDDFEB47B}"/>
            </a:ext>
          </a:extLst>
        </xdr:cNvPr>
        <xdr:cNvSpPr txBox="1"/>
      </xdr:nvSpPr>
      <xdr:spPr>
        <a:xfrm>
          <a:off x="241300" y="3848100"/>
          <a:ext cx="8318500" cy="316535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800"/>
            <a:t>The balance sheet is structured so that only </a:t>
          </a:r>
          <a:r>
            <a:rPr lang="en-US" sz="1800" b="1"/>
            <a:t>cash</a:t>
          </a:r>
          <a:r>
            <a:rPr lang="en-US" sz="1800"/>
            <a:t> serves as the plug variable. All other assets and liabilities</a:t>
          </a:r>
          <a:r>
            <a:rPr lang="en-US" sz="1800" baseline="0"/>
            <a:t> (</a:t>
          </a:r>
          <a:r>
            <a:rPr lang="en-US" sz="1800"/>
            <a:t>including operating current assets, operating current liabilities, and fixed assets)</a:t>
          </a:r>
          <a:r>
            <a:rPr lang="en-US" sz="1800" baseline="0"/>
            <a:t> </a:t>
          </a:r>
          <a:r>
            <a:rPr lang="en-US" sz="1800"/>
            <a:t>are explicitly forecasted based on driver assumptions or held constant where appropriate (e.g., goodwill, intangible assets, etc). Net PPE for the base year ties directly to Disney’s reported figure, while forecast PPE follows a roll-forward schedule using Capex and depreciation. Equity evolves each year through retained earnings by adding forecast net income. This structure ensures that the balance sheet remains internally consistent across the projection horizon and that free cash flow to the firm (FCFF) is calculated cleanly from EBIT(1–tax) with appropriate adjustments for non-cash charges, investment activity, and working capital needs.</a:t>
          </a:r>
        </a:p>
        <a:p>
          <a:endParaRPr lang="en-US" sz="1800">
            <a:latin typeface="Times New Roman" panose="02020603050405020304" pitchFamily="18" charset="0"/>
            <a:cs typeface="Times New Roman" panose="02020603050405020304" pitchFamily="18" charset="0"/>
          </a:endParaRPr>
        </a:p>
      </xdr:txBody>
    </xdr:sp>
    <xdr:clientData/>
  </xdr:oneCellAnchor>
  <xdr:oneCellAnchor>
    <xdr:from>
      <xdr:col>0</xdr:col>
      <xdr:colOff>241300</xdr:colOff>
      <xdr:row>35</xdr:row>
      <xdr:rowOff>101600</xdr:rowOff>
    </xdr:from>
    <xdr:ext cx="8318500" cy="2064540"/>
    <xdr:sp macro="" textlink="">
      <xdr:nvSpPr>
        <xdr:cNvPr id="4" name="TextBox 3">
          <a:extLst>
            <a:ext uri="{FF2B5EF4-FFF2-40B4-BE49-F238E27FC236}">
              <a16:creationId xmlns:a16="http://schemas.microsoft.com/office/drawing/2014/main" id="{476B64A6-5759-8B47-8224-BB71DA8829DD}"/>
            </a:ext>
          </a:extLst>
        </xdr:cNvPr>
        <xdr:cNvSpPr txBox="1"/>
      </xdr:nvSpPr>
      <xdr:spPr>
        <a:xfrm>
          <a:off x="241300" y="7213600"/>
          <a:ext cx="8318500" cy="20645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Using a weighted average cost of capital (WACC) of 8.86%—derived from Disney’s capital structure, CAPM-based cost of equity, and after-tax cost of debt—and a long-term growth rate of 3.0%, the present value of projected cash flows and terminal value yields an enterprise value of approximately $196 billion. After subtracting interest-bearing debt and adding non-operating assets such as cash and long-term investments, the resulting equity value is roughly $168 billion. Dividing by current shares outstanding produces an estimated intrinsic value of </a:t>
          </a:r>
          <a:r>
            <a:rPr lang="en-US" sz="1800" b="1"/>
            <a:t>approximately $93.51 per share</a:t>
          </a:r>
          <a:r>
            <a:rPr lang="en-US" sz="1800"/>
            <a:t>.</a:t>
          </a:r>
        </a:p>
      </xdr:txBody>
    </xdr:sp>
    <xdr:clientData/>
  </xdr:oneCellAnchor>
</xdr:wsDr>
</file>

<file path=xl/persons/person.xml><?xml version="1.0" encoding="utf-8"?>
<personList xmlns="http://schemas.microsoft.com/office/spreadsheetml/2018/threadedcomments" xmlns:x="http://schemas.openxmlformats.org/spreadsheetml/2006/main">
  <person displayName="Felipe Santos Borges" id="{EB4BB349-381B-8940-BBAC-473BF4727809}" userId="S::felipe.a22443@agenteinvest.com.br::40a70235-1ab8-47de-88cc-00219b707b3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13861D-C894-9B4B-B01A-2B394553BD1B}" name="Table3" displayName="Table3" ref="A1:D26" totalsRowShown="0" headerRowDxfId="0">
  <autoFilter ref="A1:D26" xr:uid="{7A13861D-C894-9B4B-B01A-2B394553BD1B}"/>
  <tableColumns count="4">
    <tableColumn id="1" xr3:uid="{5EE1D3D5-DD5D-1A4E-8764-5094D82CD27E}" name="CONSOLIDATED STATEMENTS OF INCOME - USD ($, millions)"/>
    <tableColumn id="2" xr3:uid="{2BEEC7E2-D659-8C4A-8CB2-470DB0CAF459}" name="Sep. 27, 2025"/>
    <tableColumn id="3" xr3:uid="{4924515E-C83A-DE4E-BA31-BBFB34CAD273}" name="Sep. 28, 2024"/>
    <tableColumn id="4" xr3:uid="{1FF98A4D-3160-9643-897E-0E5ECD2A628A}" name="Sep. 30, 202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D5A089-1EC6-5E4E-9470-EA7E7129FFD5}" name="Table1" displayName="Table1" ref="A1:D41" totalsRowShown="0" headerRowDxfId="9" dataDxfId="10">
  <autoFilter ref="A1:D41" xr:uid="{76D5A089-1EC6-5E4E-9470-EA7E7129FFD5}"/>
  <tableColumns count="4">
    <tableColumn id="1" xr3:uid="{1F1F2E1B-94FE-064C-8611-FAD900E757F1}" name="CONSOLIDATED STATEMENTS OF CASH FLOWS - USD ($, millions)"/>
    <tableColumn id="2" xr3:uid="{45BB12A3-F14F-AD4B-A20C-5EA773E17A85}" name="Sep. 27, 2025" dataDxfId="13"/>
    <tableColumn id="3" xr3:uid="{02AD31B2-E9D2-CF4F-A9EF-54C0321B7245}" name="Sep. 28, 2024" dataDxfId="12"/>
    <tableColumn id="4" xr3:uid="{818ADB36-4203-484D-9A34-1EB5A76D47A8}" name="Sep. 30, 2023" dataDxfId="11"/>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E4AABD-FEC8-7249-B14D-9C18DA791312}" name="Table2" displayName="Table2" ref="A1:F40" totalsRowShown="0" headerRowDxfId="3" dataDxfId="4">
  <autoFilter ref="A1:F40" xr:uid="{89E4AABD-FEC8-7249-B14D-9C18DA791312}"/>
  <tableColumns count="6">
    <tableColumn id="1" xr3:uid="{2E708BFF-C17D-464A-91C4-B377798A86AD}" name="CONSOLIDATED BALANCE SHEETS - USD ($, millions)" dataDxfId="1"/>
    <tableColumn id="2" xr3:uid="{63D49DBC-3CA8-CB47-A075-70DCED5ACDBE}" name="Sep. 27, 2025" dataDxfId="2"/>
    <tableColumn id="3" xr3:uid="{8CE4045F-BF9B-8543-91F0-7F8C975E3F3D}" name="Sep. 28, 2024" dataDxfId="8"/>
    <tableColumn id="4" xr3:uid="{D2CAC9A6-287B-1F4B-8A15-98B62D5DE28B}" name="Sep. 30, 2023" dataDxfId="7"/>
    <tableColumn id="5" xr3:uid="{E9F93F89-4B4F-E042-A98F-382703DABCCB}" name="Oct. 01, 2022" dataDxfId="6"/>
    <tableColumn id="6" xr3:uid="{266E44C3-BE84-1844-8355-DFBEA2BC6563}" name="Oct. 02, 2021" dataDxfId="5"/>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2" dT="2025-12-03T23:31:33.70" personId="{EB4BB349-381B-8940-BBAC-473BF4727809}" id="{AF4AABF4-C7F5-9942-B92F-724410D27DBD}">
    <text>This will NOT match Disney’s reported NI (13,431) because we’re stripping out one-offs (restructuring, equity in investees, weird tax swings) and imposing a clean 24% tax rate.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finance.yahoo.com/quote/DIS/" TargetMode="External"/><Relationship Id="rId2" Type="http://schemas.openxmlformats.org/officeDocument/2006/relationships/hyperlink" Target="https://pages.stern.nyu.edu/~adamodar/" TargetMode="External"/><Relationship Id="rId1" Type="http://schemas.openxmlformats.org/officeDocument/2006/relationships/hyperlink" Target="https://finance.yahoo.com/quote/DI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6" Type="http://schemas.openxmlformats.org/officeDocument/2006/relationships/hyperlink" Target="javascript:void(0);" TargetMode="External"/><Relationship Id="rId21" Type="http://schemas.openxmlformats.org/officeDocument/2006/relationships/hyperlink" Target="javascript:void(0);" TargetMode="External"/><Relationship Id="rId42" Type="http://schemas.openxmlformats.org/officeDocument/2006/relationships/hyperlink" Target="javascript:void(0);" TargetMode="External"/><Relationship Id="rId47" Type="http://schemas.openxmlformats.org/officeDocument/2006/relationships/hyperlink" Target="javascript:void(0);" TargetMode="External"/><Relationship Id="rId63" Type="http://schemas.openxmlformats.org/officeDocument/2006/relationships/hyperlink" Target="javascript:void(0);" TargetMode="External"/><Relationship Id="rId68" Type="http://schemas.openxmlformats.org/officeDocument/2006/relationships/hyperlink" Target="javascript:void(0);" TargetMode="External"/><Relationship Id="rId84" Type="http://schemas.openxmlformats.org/officeDocument/2006/relationships/hyperlink" Target="javascript:void(0);" TargetMode="External"/><Relationship Id="rId89" Type="http://schemas.openxmlformats.org/officeDocument/2006/relationships/hyperlink" Target="javascript:void(0);" TargetMode="External"/><Relationship Id="rId16" Type="http://schemas.openxmlformats.org/officeDocument/2006/relationships/hyperlink" Target="javascript:void(0);" TargetMode="External"/><Relationship Id="rId11" Type="http://schemas.openxmlformats.org/officeDocument/2006/relationships/hyperlink" Target="javascript:void(0);" TargetMode="External"/><Relationship Id="rId32" Type="http://schemas.openxmlformats.org/officeDocument/2006/relationships/hyperlink" Target="javascript:void(0);" TargetMode="External"/><Relationship Id="rId37" Type="http://schemas.openxmlformats.org/officeDocument/2006/relationships/hyperlink" Target="javascript:void(0);" TargetMode="External"/><Relationship Id="rId53" Type="http://schemas.openxmlformats.org/officeDocument/2006/relationships/hyperlink" Target="javascript:void(0);" TargetMode="External"/><Relationship Id="rId58" Type="http://schemas.openxmlformats.org/officeDocument/2006/relationships/hyperlink" Target="javascript:void(0);" TargetMode="External"/><Relationship Id="rId74" Type="http://schemas.openxmlformats.org/officeDocument/2006/relationships/hyperlink" Target="javascript:void(0);" TargetMode="External"/><Relationship Id="rId79" Type="http://schemas.openxmlformats.org/officeDocument/2006/relationships/hyperlink" Target="javascript:void(0);" TargetMode="External"/><Relationship Id="rId5" Type="http://schemas.openxmlformats.org/officeDocument/2006/relationships/hyperlink" Target="javascript:void(0);" TargetMode="External"/><Relationship Id="rId90" Type="http://schemas.openxmlformats.org/officeDocument/2006/relationships/hyperlink" Target="javascript:void(0);" TargetMode="External"/><Relationship Id="rId22" Type="http://schemas.openxmlformats.org/officeDocument/2006/relationships/hyperlink" Target="javascript:void(0);" TargetMode="External"/><Relationship Id="rId27" Type="http://schemas.openxmlformats.org/officeDocument/2006/relationships/hyperlink" Target="javascript:void(0);" TargetMode="External"/><Relationship Id="rId43" Type="http://schemas.openxmlformats.org/officeDocument/2006/relationships/hyperlink" Target="javascript:void(0);" TargetMode="External"/><Relationship Id="rId48" Type="http://schemas.openxmlformats.org/officeDocument/2006/relationships/hyperlink" Target="javascript:void(0);" TargetMode="External"/><Relationship Id="rId64" Type="http://schemas.openxmlformats.org/officeDocument/2006/relationships/hyperlink" Target="javascript:void(0);" TargetMode="External"/><Relationship Id="rId69" Type="http://schemas.openxmlformats.org/officeDocument/2006/relationships/hyperlink" Target="javascript:void(0);" TargetMode="External"/><Relationship Id="rId8" Type="http://schemas.openxmlformats.org/officeDocument/2006/relationships/hyperlink" Target="javascript:void(0);" TargetMode="External"/><Relationship Id="rId51" Type="http://schemas.openxmlformats.org/officeDocument/2006/relationships/hyperlink" Target="javascript:void(0);" TargetMode="External"/><Relationship Id="rId72" Type="http://schemas.openxmlformats.org/officeDocument/2006/relationships/hyperlink" Target="javascript:void(0);" TargetMode="External"/><Relationship Id="rId80" Type="http://schemas.openxmlformats.org/officeDocument/2006/relationships/hyperlink" Target="javascript:void(0);" TargetMode="External"/><Relationship Id="rId85" Type="http://schemas.openxmlformats.org/officeDocument/2006/relationships/hyperlink" Target="javascript:void(0);" TargetMode="External"/><Relationship Id="rId93" Type="http://schemas.openxmlformats.org/officeDocument/2006/relationships/hyperlink" Target="javascript:void(0);" TargetMode="External"/><Relationship Id="rId3" Type="http://schemas.openxmlformats.org/officeDocument/2006/relationships/hyperlink" Target="javascript:void(0);" TargetMode="External"/><Relationship Id="rId12" Type="http://schemas.openxmlformats.org/officeDocument/2006/relationships/hyperlink" Target="javascript:void(0);" TargetMode="External"/><Relationship Id="rId17" Type="http://schemas.openxmlformats.org/officeDocument/2006/relationships/hyperlink" Target="javascript:void(0);" TargetMode="External"/><Relationship Id="rId25" Type="http://schemas.openxmlformats.org/officeDocument/2006/relationships/hyperlink" Target="javascript:void(0);" TargetMode="External"/><Relationship Id="rId33" Type="http://schemas.openxmlformats.org/officeDocument/2006/relationships/hyperlink" Target="javascript:void(0);" TargetMode="External"/><Relationship Id="rId38" Type="http://schemas.openxmlformats.org/officeDocument/2006/relationships/hyperlink" Target="javascript:void(0);" TargetMode="External"/><Relationship Id="rId46" Type="http://schemas.openxmlformats.org/officeDocument/2006/relationships/hyperlink" Target="javascript:void(0);" TargetMode="External"/><Relationship Id="rId59" Type="http://schemas.openxmlformats.org/officeDocument/2006/relationships/hyperlink" Target="javascript:void(0);" TargetMode="External"/><Relationship Id="rId67" Type="http://schemas.openxmlformats.org/officeDocument/2006/relationships/hyperlink" Target="javascript:void(0);" TargetMode="External"/><Relationship Id="rId20" Type="http://schemas.openxmlformats.org/officeDocument/2006/relationships/hyperlink" Target="javascript:void(0);" TargetMode="External"/><Relationship Id="rId41" Type="http://schemas.openxmlformats.org/officeDocument/2006/relationships/hyperlink" Target="javascript:void(0);" TargetMode="External"/><Relationship Id="rId54" Type="http://schemas.openxmlformats.org/officeDocument/2006/relationships/hyperlink" Target="javascript:void(0);" TargetMode="External"/><Relationship Id="rId62" Type="http://schemas.openxmlformats.org/officeDocument/2006/relationships/hyperlink" Target="javascript:void(0);" TargetMode="External"/><Relationship Id="rId70" Type="http://schemas.openxmlformats.org/officeDocument/2006/relationships/hyperlink" Target="javascript:void(0);" TargetMode="External"/><Relationship Id="rId75" Type="http://schemas.openxmlformats.org/officeDocument/2006/relationships/hyperlink" Target="javascript:void(0);" TargetMode="External"/><Relationship Id="rId83" Type="http://schemas.openxmlformats.org/officeDocument/2006/relationships/hyperlink" Target="javascript:void(0);" TargetMode="External"/><Relationship Id="rId88" Type="http://schemas.openxmlformats.org/officeDocument/2006/relationships/hyperlink" Target="javascript:void(0);" TargetMode="External"/><Relationship Id="rId91"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5" Type="http://schemas.openxmlformats.org/officeDocument/2006/relationships/hyperlink" Target="javascript:void(0);" TargetMode="External"/><Relationship Id="rId23" Type="http://schemas.openxmlformats.org/officeDocument/2006/relationships/hyperlink" Target="javascript:void(0);" TargetMode="External"/><Relationship Id="rId28" Type="http://schemas.openxmlformats.org/officeDocument/2006/relationships/hyperlink" Target="javascript:void(0);" TargetMode="External"/><Relationship Id="rId36" Type="http://schemas.openxmlformats.org/officeDocument/2006/relationships/hyperlink" Target="javascript:void(0);" TargetMode="External"/><Relationship Id="rId49" Type="http://schemas.openxmlformats.org/officeDocument/2006/relationships/hyperlink" Target="javascript:void(0);" TargetMode="External"/><Relationship Id="rId57" Type="http://schemas.openxmlformats.org/officeDocument/2006/relationships/hyperlink" Target="javascript:void(0);" TargetMode="External"/><Relationship Id="rId10" Type="http://schemas.openxmlformats.org/officeDocument/2006/relationships/hyperlink" Target="javascript:void(0);" TargetMode="External"/><Relationship Id="rId31" Type="http://schemas.openxmlformats.org/officeDocument/2006/relationships/hyperlink" Target="javascript:void(0);" TargetMode="External"/><Relationship Id="rId44" Type="http://schemas.openxmlformats.org/officeDocument/2006/relationships/hyperlink" Target="javascript:void(0);" TargetMode="External"/><Relationship Id="rId52" Type="http://schemas.openxmlformats.org/officeDocument/2006/relationships/hyperlink" Target="javascript:void(0);" TargetMode="External"/><Relationship Id="rId60" Type="http://schemas.openxmlformats.org/officeDocument/2006/relationships/hyperlink" Target="javascript:void(0);" TargetMode="External"/><Relationship Id="rId65" Type="http://schemas.openxmlformats.org/officeDocument/2006/relationships/hyperlink" Target="javascript:void(0);" TargetMode="External"/><Relationship Id="rId73" Type="http://schemas.openxmlformats.org/officeDocument/2006/relationships/hyperlink" Target="javascript:void(0);" TargetMode="External"/><Relationship Id="rId78" Type="http://schemas.openxmlformats.org/officeDocument/2006/relationships/hyperlink" Target="javascript:void(0);" TargetMode="External"/><Relationship Id="rId81" Type="http://schemas.openxmlformats.org/officeDocument/2006/relationships/hyperlink" Target="javascript:void(0);" TargetMode="External"/><Relationship Id="rId86" Type="http://schemas.openxmlformats.org/officeDocument/2006/relationships/hyperlink" Target="javascript:void(0);" TargetMode="External"/><Relationship Id="rId94" Type="http://schemas.openxmlformats.org/officeDocument/2006/relationships/table" Target="../tables/table1.xm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3" Type="http://schemas.openxmlformats.org/officeDocument/2006/relationships/hyperlink" Target="javascript:void(0);" TargetMode="External"/><Relationship Id="rId18" Type="http://schemas.openxmlformats.org/officeDocument/2006/relationships/hyperlink" Target="javascript:void(0);" TargetMode="External"/><Relationship Id="rId39" Type="http://schemas.openxmlformats.org/officeDocument/2006/relationships/hyperlink" Target="javascript:void(0);" TargetMode="External"/><Relationship Id="rId34" Type="http://schemas.openxmlformats.org/officeDocument/2006/relationships/hyperlink" Target="javascript:void(0);" TargetMode="External"/><Relationship Id="rId50" Type="http://schemas.openxmlformats.org/officeDocument/2006/relationships/hyperlink" Target="javascript:void(0);" TargetMode="External"/><Relationship Id="rId55" Type="http://schemas.openxmlformats.org/officeDocument/2006/relationships/hyperlink" Target="javascript:void(0);" TargetMode="External"/><Relationship Id="rId76" Type="http://schemas.openxmlformats.org/officeDocument/2006/relationships/hyperlink" Target="javascript:void(0);" TargetMode="External"/><Relationship Id="rId7" Type="http://schemas.openxmlformats.org/officeDocument/2006/relationships/hyperlink" Target="javascript:void(0);" TargetMode="External"/><Relationship Id="rId71" Type="http://schemas.openxmlformats.org/officeDocument/2006/relationships/hyperlink" Target="javascript:void(0);" TargetMode="External"/><Relationship Id="rId92" Type="http://schemas.openxmlformats.org/officeDocument/2006/relationships/hyperlink" Target="javascript:void(0);" TargetMode="External"/><Relationship Id="rId2" Type="http://schemas.openxmlformats.org/officeDocument/2006/relationships/hyperlink" Target="javascript:void(0);" TargetMode="External"/><Relationship Id="rId29" Type="http://schemas.openxmlformats.org/officeDocument/2006/relationships/hyperlink" Target="javascript:void(0);" TargetMode="External"/><Relationship Id="rId24" Type="http://schemas.openxmlformats.org/officeDocument/2006/relationships/hyperlink" Target="javascript:void(0);" TargetMode="External"/><Relationship Id="rId40" Type="http://schemas.openxmlformats.org/officeDocument/2006/relationships/hyperlink" Target="javascript:void(0);" TargetMode="External"/><Relationship Id="rId45" Type="http://schemas.openxmlformats.org/officeDocument/2006/relationships/hyperlink" Target="javascript:void(0);" TargetMode="External"/><Relationship Id="rId66" Type="http://schemas.openxmlformats.org/officeDocument/2006/relationships/hyperlink" Target="javascript:void(0);" TargetMode="External"/><Relationship Id="rId87" Type="http://schemas.openxmlformats.org/officeDocument/2006/relationships/hyperlink" Target="javascript:void(0);" TargetMode="External"/><Relationship Id="rId61" Type="http://schemas.openxmlformats.org/officeDocument/2006/relationships/hyperlink" Target="javascript:void(0);" TargetMode="External"/><Relationship Id="rId82" Type="http://schemas.openxmlformats.org/officeDocument/2006/relationships/hyperlink" Target="javascript:void(0);" TargetMode="External"/><Relationship Id="rId19" Type="http://schemas.openxmlformats.org/officeDocument/2006/relationships/hyperlink" Target="javascript:void(0);" TargetMode="External"/><Relationship Id="rId14" Type="http://schemas.openxmlformats.org/officeDocument/2006/relationships/hyperlink" Target="javascript:void(0);" TargetMode="External"/><Relationship Id="rId30" Type="http://schemas.openxmlformats.org/officeDocument/2006/relationships/hyperlink" Target="javascript:void(0);" TargetMode="External"/><Relationship Id="rId35" Type="http://schemas.openxmlformats.org/officeDocument/2006/relationships/hyperlink" Target="javascript:void(0);" TargetMode="External"/><Relationship Id="rId56" Type="http://schemas.openxmlformats.org/officeDocument/2006/relationships/hyperlink" Target="javascript:void(0);" TargetMode="External"/><Relationship Id="rId77" Type="http://schemas.openxmlformats.org/officeDocument/2006/relationships/hyperlink" Target="javascript:void(0);"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17" Type="http://schemas.openxmlformats.org/officeDocument/2006/relationships/hyperlink" Target="javascript:void(0);" TargetMode="External"/><Relationship Id="rId21" Type="http://schemas.openxmlformats.org/officeDocument/2006/relationships/hyperlink" Target="javascript:void(0);" TargetMode="External"/><Relationship Id="rId42" Type="http://schemas.openxmlformats.org/officeDocument/2006/relationships/hyperlink" Target="javascript:void(0);" TargetMode="External"/><Relationship Id="rId63" Type="http://schemas.openxmlformats.org/officeDocument/2006/relationships/hyperlink" Target="javascript:void(0);" TargetMode="External"/><Relationship Id="rId84" Type="http://schemas.openxmlformats.org/officeDocument/2006/relationships/hyperlink" Target="javascript:void(0);" TargetMode="External"/><Relationship Id="rId138" Type="http://schemas.openxmlformats.org/officeDocument/2006/relationships/hyperlink" Target="javascript:void(0);" TargetMode="External"/><Relationship Id="rId107" Type="http://schemas.openxmlformats.org/officeDocument/2006/relationships/hyperlink" Target="javascript:void(0);" TargetMode="External"/><Relationship Id="rId11" Type="http://schemas.openxmlformats.org/officeDocument/2006/relationships/hyperlink" Target="javascript:void(0);" TargetMode="External"/><Relationship Id="rId32" Type="http://schemas.openxmlformats.org/officeDocument/2006/relationships/hyperlink" Target="javascript:void(0);" TargetMode="External"/><Relationship Id="rId53" Type="http://schemas.openxmlformats.org/officeDocument/2006/relationships/hyperlink" Target="javascript:void(0);" TargetMode="External"/><Relationship Id="rId74" Type="http://schemas.openxmlformats.org/officeDocument/2006/relationships/hyperlink" Target="javascript:void(0);" TargetMode="External"/><Relationship Id="rId128" Type="http://schemas.openxmlformats.org/officeDocument/2006/relationships/hyperlink" Target="javascript:void(0);" TargetMode="External"/><Relationship Id="rId149" Type="http://schemas.openxmlformats.org/officeDocument/2006/relationships/hyperlink" Target="javascript:void(0);" TargetMode="External"/><Relationship Id="rId5" Type="http://schemas.openxmlformats.org/officeDocument/2006/relationships/hyperlink" Target="javascript:void(0);" TargetMode="External"/><Relationship Id="rId95" Type="http://schemas.openxmlformats.org/officeDocument/2006/relationships/hyperlink" Target="javascript:void(0);" TargetMode="External"/><Relationship Id="rId22" Type="http://schemas.openxmlformats.org/officeDocument/2006/relationships/hyperlink" Target="javascript:void(0);" TargetMode="External"/><Relationship Id="rId43" Type="http://schemas.openxmlformats.org/officeDocument/2006/relationships/hyperlink" Target="javascript:void(0);" TargetMode="External"/><Relationship Id="rId64" Type="http://schemas.openxmlformats.org/officeDocument/2006/relationships/hyperlink" Target="javascript:void(0);" TargetMode="External"/><Relationship Id="rId118" Type="http://schemas.openxmlformats.org/officeDocument/2006/relationships/hyperlink" Target="javascript:void(0);" TargetMode="External"/><Relationship Id="rId139" Type="http://schemas.openxmlformats.org/officeDocument/2006/relationships/hyperlink" Target="javascript:void(0);" TargetMode="External"/><Relationship Id="rId80" Type="http://schemas.openxmlformats.org/officeDocument/2006/relationships/hyperlink" Target="javascript:void(0);" TargetMode="External"/><Relationship Id="rId85" Type="http://schemas.openxmlformats.org/officeDocument/2006/relationships/hyperlink" Target="javascript:void(0);" TargetMode="External"/><Relationship Id="rId150" Type="http://schemas.openxmlformats.org/officeDocument/2006/relationships/hyperlink" Target="javascript:void(0);" TargetMode="External"/><Relationship Id="rId155" Type="http://schemas.openxmlformats.org/officeDocument/2006/relationships/hyperlink" Target="javascript:void(0);" TargetMode="External"/><Relationship Id="rId12" Type="http://schemas.openxmlformats.org/officeDocument/2006/relationships/hyperlink" Target="javascript:void(0);" TargetMode="External"/><Relationship Id="rId17" Type="http://schemas.openxmlformats.org/officeDocument/2006/relationships/hyperlink" Target="javascript:void(0);" TargetMode="External"/><Relationship Id="rId33" Type="http://schemas.openxmlformats.org/officeDocument/2006/relationships/hyperlink" Target="javascript:void(0);" TargetMode="External"/><Relationship Id="rId38" Type="http://schemas.openxmlformats.org/officeDocument/2006/relationships/hyperlink" Target="javascript:void(0);" TargetMode="External"/><Relationship Id="rId59" Type="http://schemas.openxmlformats.org/officeDocument/2006/relationships/hyperlink" Target="javascript:void(0);" TargetMode="External"/><Relationship Id="rId103" Type="http://schemas.openxmlformats.org/officeDocument/2006/relationships/hyperlink" Target="javascript:void(0);" TargetMode="External"/><Relationship Id="rId108" Type="http://schemas.openxmlformats.org/officeDocument/2006/relationships/hyperlink" Target="javascript:void(0);" TargetMode="External"/><Relationship Id="rId124" Type="http://schemas.openxmlformats.org/officeDocument/2006/relationships/hyperlink" Target="javascript:void(0);" TargetMode="External"/><Relationship Id="rId129" Type="http://schemas.openxmlformats.org/officeDocument/2006/relationships/hyperlink" Target="javascript:void(0);" TargetMode="External"/><Relationship Id="rId54" Type="http://schemas.openxmlformats.org/officeDocument/2006/relationships/hyperlink" Target="javascript:void(0);" TargetMode="External"/><Relationship Id="rId70" Type="http://schemas.openxmlformats.org/officeDocument/2006/relationships/hyperlink" Target="javascript:void(0);" TargetMode="External"/><Relationship Id="rId75" Type="http://schemas.openxmlformats.org/officeDocument/2006/relationships/hyperlink" Target="javascript:void(0);" TargetMode="External"/><Relationship Id="rId91" Type="http://schemas.openxmlformats.org/officeDocument/2006/relationships/hyperlink" Target="javascript:void(0);" TargetMode="External"/><Relationship Id="rId96" Type="http://schemas.openxmlformats.org/officeDocument/2006/relationships/hyperlink" Target="javascript:void(0);" TargetMode="External"/><Relationship Id="rId140" Type="http://schemas.openxmlformats.org/officeDocument/2006/relationships/hyperlink" Target="javascript:void(0);" TargetMode="External"/><Relationship Id="rId145"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23" Type="http://schemas.openxmlformats.org/officeDocument/2006/relationships/hyperlink" Target="javascript:void(0);" TargetMode="External"/><Relationship Id="rId28" Type="http://schemas.openxmlformats.org/officeDocument/2006/relationships/hyperlink" Target="javascript:void(0);" TargetMode="External"/><Relationship Id="rId49" Type="http://schemas.openxmlformats.org/officeDocument/2006/relationships/hyperlink" Target="javascript:void(0);" TargetMode="External"/><Relationship Id="rId114" Type="http://schemas.openxmlformats.org/officeDocument/2006/relationships/hyperlink" Target="javascript:void(0);" TargetMode="External"/><Relationship Id="rId119" Type="http://schemas.openxmlformats.org/officeDocument/2006/relationships/hyperlink" Target="javascript:void(0);" TargetMode="External"/><Relationship Id="rId44" Type="http://schemas.openxmlformats.org/officeDocument/2006/relationships/hyperlink" Target="javascript:void(0);" TargetMode="External"/><Relationship Id="rId60" Type="http://schemas.openxmlformats.org/officeDocument/2006/relationships/hyperlink" Target="javascript:void(0);" TargetMode="External"/><Relationship Id="rId65" Type="http://schemas.openxmlformats.org/officeDocument/2006/relationships/hyperlink" Target="javascript:void(0);" TargetMode="External"/><Relationship Id="rId81" Type="http://schemas.openxmlformats.org/officeDocument/2006/relationships/hyperlink" Target="javascript:void(0);" TargetMode="External"/><Relationship Id="rId86" Type="http://schemas.openxmlformats.org/officeDocument/2006/relationships/hyperlink" Target="javascript:void(0);" TargetMode="External"/><Relationship Id="rId130" Type="http://schemas.openxmlformats.org/officeDocument/2006/relationships/hyperlink" Target="javascript:void(0);" TargetMode="External"/><Relationship Id="rId135" Type="http://schemas.openxmlformats.org/officeDocument/2006/relationships/hyperlink" Target="javascript:void(0);" TargetMode="External"/><Relationship Id="rId151" Type="http://schemas.openxmlformats.org/officeDocument/2006/relationships/hyperlink" Target="javascript:void(0);" TargetMode="External"/><Relationship Id="rId156" Type="http://schemas.openxmlformats.org/officeDocument/2006/relationships/hyperlink" Target="javascript:void(0);" TargetMode="External"/><Relationship Id="rId13" Type="http://schemas.openxmlformats.org/officeDocument/2006/relationships/hyperlink" Target="javascript:void(0);" TargetMode="External"/><Relationship Id="rId18" Type="http://schemas.openxmlformats.org/officeDocument/2006/relationships/hyperlink" Target="javascript:void(0);" TargetMode="External"/><Relationship Id="rId39" Type="http://schemas.openxmlformats.org/officeDocument/2006/relationships/hyperlink" Target="javascript:void(0);" TargetMode="External"/><Relationship Id="rId109" Type="http://schemas.openxmlformats.org/officeDocument/2006/relationships/hyperlink" Target="javascript:void(0);" TargetMode="External"/><Relationship Id="rId34" Type="http://schemas.openxmlformats.org/officeDocument/2006/relationships/hyperlink" Target="javascript:void(0);" TargetMode="External"/><Relationship Id="rId50" Type="http://schemas.openxmlformats.org/officeDocument/2006/relationships/hyperlink" Target="javascript:void(0);" TargetMode="External"/><Relationship Id="rId55" Type="http://schemas.openxmlformats.org/officeDocument/2006/relationships/hyperlink" Target="javascript:void(0);" TargetMode="External"/><Relationship Id="rId76" Type="http://schemas.openxmlformats.org/officeDocument/2006/relationships/hyperlink" Target="javascript:void(0);" TargetMode="External"/><Relationship Id="rId97" Type="http://schemas.openxmlformats.org/officeDocument/2006/relationships/hyperlink" Target="javascript:void(0);" TargetMode="External"/><Relationship Id="rId104" Type="http://schemas.openxmlformats.org/officeDocument/2006/relationships/hyperlink" Target="javascript:void(0);" TargetMode="External"/><Relationship Id="rId120" Type="http://schemas.openxmlformats.org/officeDocument/2006/relationships/hyperlink" Target="javascript:void(0);" TargetMode="External"/><Relationship Id="rId125" Type="http://schemas.openxmlformats.org/officeDocument/2006/relationships/hyperlink" Target="javascript:void(0);" TargetMode="External"/><Relationship Id="rId141" Type="http://schemas.openxmlformats.org/officeDocument/2006/relationships/hyperlink" Target="javascript:void(0);" TargetMode="External"/><Relationship Id="rId146" Type="http://schemas.openxmlformats.org/officeDocument/2006/relationships/hyperlink" Target="javascript:void(0);" TargetMode="External"/><Relationship Id="rId7" Type="http://schemas.openxmlformats.org/officeDocument/2006/relationships/hyperlink" Target="javascript:void(0);" TargetMode="External"/><Relationship Id="rId71" Type="http://schemas.openxmlformats.org/officeDocument/2006/relationships/hyperlink" Target="javascript:void(0);" TargetMode="External"/><Relationship Id="rId92" Type="http://schemas.openxmlformats.org/officeDocument/2006/relationships/hyperlink" Target="javascript:void(0);" TargetMode="External"/><Relationship Id="rId2" Type="http://schemas.openxmlformats.org/officeDocument/2006/relationships/hyperlink" Target="javascript:void(0);" TargetMode="External"/><Relationship Id="rId29" Type="http://schemas.openxmlformats.org/officeDocument/2006/relationships/hyperlink" Target="javascript:void(0);" TargetMode="External"/><Relationship Id="rId24" Type="http://schemas.openxmlformats.org/officeDocument/2006/relationships/hyperlink" Target="javascript:void(0);" TargetMode="External"/><Relationship Id="rId40" Type="http://schemas.openxmlformats.org/officeDocument/2006/relationships/hyperlink" Target="javascript:void(0);" TargetMode="External"/><Relationship Id="rId45" Type="http://schemas.openxmlformats.org/officeDocument/2006/relationships/hyperlink" Target="javascript:void(0);" TargetMode="External"/><Relationship Id="rId66" Type="http://schemas.openxmlformats.org/officeDocument/2006/relationships/hyperlink" Target="javascript:void(0);" TargetMode="External"/><Relationship Id="rId87" Type="http://schemas.openxmlformats.org/officeDocument/2006/relationships/hyperlink" Target="javascript:void(0);" TargetMode="External"/><Relationship Id="rId110" Type="http://schemas.openxmlformats.org/officeDocument/2006/relationships/hyperlink" Target="javascript:void(0);" TargetMode="External"/><Relationship Id="rId115" Type="http://schemas.openxmlformats.org/officeDocument/2006/relationships/hyperlink" Target="javascript:void(0);" TargetMode="External"/><Relationship Id="rId131" Type="http://schemas.openxmlformats.org/officeDocument/2006/relationships/hyperlink" Target="javascript:void(0);" TargetMode="External"/><Relationship Id="rId136" Type="http://schemas.openxmlformats.org/officeDocument/2006/relationships/hyperlink" Target="javascript:void(0);" TargetMode="External"/><Relationship Id="rId157" Type="http://schemas.openxmlformats.org/officeDocument/2006/relationships/table" Target="../tables/table3.xml"/><Relationship Id="rId61" Type="http://schemas.openxmlformats.org/officeDocument/2006/relationships/hyperlink" Target="javascript:void(0);" TargetMode="External"/><Relationship Id="rId82" Type="http://schemas.openxmlformats.org/officeDocument/2006/relationships/hyperlink" Target="javascript:void(0);" TargetMode="External"/><Relationship Id="rId152" Type="http://schemas.openxmlformats.org/officeDocument/2006/relationships/hyperlink" Target="javascript:void(0);" TargetMode="External"/><Relationship Id="rId19" Type="http://schemas.openxmlformats.org/officeDocument/2006/relationships/hyperlink" Target="javascript:void(0);" TargetMode="External"/><Relationship Id="rId14" Type="http://schemas.openxmlformats.org/officeDocument/2006/relationships/hyperlink" Target="javascript:void(0);" TargetMode="External"/><Relationship Id="rId30" Type="http://schemas.openxmlformats.org/officeDocument/2006/relationships/hyperlink" Target="javascript:void(0);" TargetMode="External"/><Relationship Id="rId35" Type="http://schemas.openxmlformats.org/officeDocument/2006/relationships/hyperlink" Target="javascript:void(0);" TargetMode="External"/><Relationship Id="rId56" Type="http://schemas.openxmlformats.org/officeDocument/2006/relationships/hyperlink" Target="javascript:void(0);" TargetMode="External"/><Relationship Id="rId77" Type="http://schemas.openxmlformats.org/officeDocument/2006/relationships/hyperlink" Target="javascript:void(0);" TargetMode="External"/><Relationship Id="rId100" Type="http://schemas.openxmlformats.org/officeDocument/2006/relationships/hyperlink" Target="javascript:void(0);" TargetMode="External"/><Relationship Id="rId105" Type="http://schemas.openxmlformats.org/officeDocument/2006/relationships/hyperlink" Target="javascript:void(0);" TargetMode="External"/><Relationship Id="rId126" Type="http://schemas.openxmlformats.org/officeDocument/2006/relationships/hyperlink" Target="javascript:void(0);" TargetMode="External"/><Relationship Id="rId147" Type="http://schemas.openxmlformats.org/officeDocument/2006/relationships/hyperlink" Target="javascript:void(0);" TargetMode="External"/><Relationship Id="rId8" Type="http://schemas.openxmlformats.org/officeDocument/2006/relationships/hyperlink" Target="javascript:void(0);" TargetMode="External"/><Relationship Id="rId51" Type="http://schemas.openxmlformats.org/officeDocument/2006/relationships/hyperlink" Target="javascript:void(0);" TargetMode="External"/><Relationship Id="rId72" Type="http://schemas.openxmlformats.org/officeDocument/2006/relationships/hyperlink" Target="javascript:void(0);" TargetMode="External"/><Relationship Id="rId93" Type="http://schemas.openxmlformats.org/officeDocument/2006/relationships/hyperlink" Target="javascript:void(0);" TargetMode="External"/><Relationship Id="rId98" Type="http://schemas.openxmlformats.org/officeDocument/2006/relationships/hyperlink" Target="javascript:void(0);" TargetMode="External"/><Relationship Id="rId121" Type="http://schemas.openxmlformats.org/officeDocument/2006/relationships/hyperlink" Target="javascript:void(0);" TargetMode="External"/><Relationship Id="rId142" Type="http://schemas.openxmlformats.org/officeDocument/2006/relationships/hyperlink" Target="javascript:void(0);" TargetMode="External"/><Relationship Id="rId3" Type="http://schemas.openxmlformats.org/officeDocument/2006/relationships/hyperlink" Target="javascript:void(0);" TargetMode="External"/><Relationship Id="rId25" Type="http://schemas.openxmlformats.org/officeDocument/2006/relationships/hyperlink" Target="javascript:void(0);" TargetMode="External"/><Relationship Id="rId46" Type="http://schemas.openxmlformats.org/officeDocument/2006/relationships/hyperlink" Target="javascript:void(0);" TargetMode="External"/><Relationship Id="rId67" Type="http://schemas.openxmlformats.org/officeDocument/2006/relationships/hyperlink" Target="javascript:void(0);" TargetMode="External"/><Relationship Id="rId116" Type="http://schemas.openxmlformats.org/officeDocument/2006/relationships/hyperlink" Target="javascript:void(0);" TargetMode="External"/><Relationship Id="rId137" Type="http://schemas.openxmlformats.org/officeDocument/2006/relationships/hyperlink" Target="javascript:void(0);" TargetMode="External"/><Relationship Id="rId20" Type="http://schemas.openxmlformats.org/officeDocument/2006/relationships/hyperlink" Target="javascript:void(0);" TargetMode="External"/><Relationship Id="rId41" Type="http://schemas.openxmlformats.org/officeDocument/2006/relationships/hyperlink" Target="javascript:void(0);" TargetMode="External"/><Relationship Id="rId62" Type="http://schemas.openxmlformats.org/officeDocument/2006/relationships/hyperlink" Target="javascript:void(0);" TargetMode="External"/><Relationship Id="rId83" Type="http://schemas.openxmlformats.org/officeDocument/2006/relationships/hyperlink" Target="javascript:void(0);" TargetMode="External"/><Relationship Id="rId88" Type="http://schemas.openxmlformats.org/officeDocument/2006/relationships/hyperlink" Target="javascript:void(0);" TargetMode="External"/><Relationship Id="rId111" Type="http://schemas.openxmlformats.org/officeDocument/2006/relationships/hyperlink" Target="javascript:void(0);" TargetMode="External"/><Relationship Id="rId132" Type="http://schemas.openxmlformats.org/officeDocument/2006/relationships/hyperlink" Target="javascript:void(0);" TargetMode="External"/><Relationship Id="rId153" Type="http://schemas.openxmlformats.org/officeDocument/2006/relationships/hyperlink" Target="javascript:void(0);" TargetMode="External"/><Relationship Id="rId15" Type="http://schemas.openxmlformats.org/officeDocument/2006/relationships/hyperlink" Target="javascript:void(0);" TargetMode="External"/><Relationship Id="rId36" Type="http://schemas.openxmlformats.org/officeDocument/2006/relationships/hyperlink" Target="javascript:void(0);" TargetMode="External"/><Relationship Id="rId57" Type="http://schemas.openxmlformats.org/officeDocument/2006/relationships/hyperlink" Target="javascript:void(0);" TargetMode="External"/><Relationship Id="rId106" Type="http://schemas.openxmlformats.org/officeDocument/2006/relationships/hyperlink" Target="javascript:void(0);" TargetMode="External"/><Relationship Id="rId127" Type="http://schemas.openxmlformats.org/officeDocument/2006/relationships/hyperlink" Target="javascript:void(0);" TargetMode="External"/><Relationship Id="rId10" Type="http://schemas.openxmlformats.org/officeDocument/2006/relationships/hyperlink" Target="javascript:void(0);" TargetMode="External"/><Relationship Id="rId31" Type="http://schemas.openxmlformats.org/officeDocument/2006/relationships/hyperlink" Target="javascript:void(0);" TargetMode="External"/><Relationship Id="rId52" Type="http://schemas.openxmlformats.org/officeDocument/2006/relationships/hyperlink" Target="javascript:void(0);" TargetMode="External"/><Relationship Id="rId73" Type="http://schemas.openxmlformats.org/officeDocument/2006/relationships/hyperlink" Target="javascript:void(0);" TargetMode="External"/><Relationship Id="rId78" Type="http://schemas.openxmlformats.org/officeDocument/2006/relationships/hyperlink" Target="javascript:void(0);" TargetMode="External"/><Relationship Id="rId94" Type="http://schemas.openxmlformats.org/officeDocument/2006/relationships/hyperlink" Target="javascript:void(0);" TargetMode="External"/><Relationship Id="rId99" Type="http://schemas.openxmlformats.org/officeDocument/2006/relationships/hyperlink" Target="javascript:void(0);" TargetMode="External"/><Relationship Id="rId101" Type="http://schemas.openxmlformats.org/officeDocument/2006/relationships/hyperlink" Target="javascript:void(0);" TargetMode="External"/><Relationship Id="rId122" Type="http://schemas.openxmlformats.org/officeDocument/2006/relationships/hyperlink" Target="javascript:void(0);" TargetMode="External"/><Relationship Id="rId143" Type="http://schemas.openxmlformats.org/officeDocument/2006/relationships/hyperlink" Target="javascript:void(0);" TargetMode="External"/><Relationship Id="rId148"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26" Type="http://schemas.openxmlformats.org/officeDocument/2006/relationships/hyperlink" Target="javascript:void(0);" TargetMode="External"/><Relationship Id="rId47" Type="http://schemas.openxmlformats.org/officeDocument/2006/relationships/hyperlink" Target="javascript:void(0);" TargetMode="External"/><Relationship Id="rId68" Type="http://schemas.openxmlformats.org/officeDocument/2006/relationships/hyperlink" Target="javascript:void(0);" TargetMode="External"/><Relationship Id="rId89" Type="http://schemas.openxmlformats.org/officeDocument/2006/relationships/hyperlink" Target="javascript:void(0);" TargetMode="External"/><Relationship Id="rId112" Type="http://schemas.openxmlformats.org/officeDocument/2006/relationships/hyperlink" Target="javascript:void(0);" TargetMode="External"/><Relationship Id="rId133" Type="http://schemas.openxmlformats.org/officeDocument/2006/relationships/hyperlink" Target="javascript:void(0);" TargetMode="External"/><Relationship Id="rId154" Type="http://schemas.openxmlformats.org/officeDocument/2006/relationships/hyperlink" Target="javascript:void(0);" TargetMode="External"/><Relationship Id="rId16" Type="http://schemas.openxmlformats.org/officeDocument/2006/relationships/hyperlink" Target="javascript:void(0);" TargetMode="External"/><Relationship Id="rId37" Type="http://schemas.openxmlformats.org/officeDocument/2006/relationships/hyperlink" Target="javascript:void(0);" TargetMode="External"/><Relationship Id="rId58" Type="http://schemas.openxmlformats.org/officeDocument/2006/relationships/hyperlink" Target="javascript:void(0);" TargetMode="External"/><Relationship Id="rId79" Type="http://schemas.openxmlformats.org/officeDocument/2006/relationships/hyperlink" Target="javascript:void(0);" TargetMode="External"/><Relationship Id="rId102" Type="http://schemas.openxmlformats.org/officeDocument/2006/relationships/hyperlink" Target="javascript:void(0);" TargetMode="External"/><Relationship Id="rId123" Type="http://schemas.openxmlformats.org/officeDocument/2006/relationships/hyperlink" Target="javascript:void(0);" TargetMode="External"/><Relationship Id="rId144" Type="http://schemas.openxmlformats.org/officeDocument/2006/relationships/hyperlink" Target="javascript:void(0);" TargetMode="External"/><Relationship Id="rId90" Type="http://schemas.openxmlformats.org/officeDocument/2006/relationships/hyperlink" Target="javascript:void(0);" TargetMode="External"/><Relationship Id="rId27" Type="http://schemas.openxmlformats.org/officeDocument/2006/relationships/hyperlink" Target="javascript:void(0);" TargetMode="External"/><Relationship Id="rId48" Type="http://schemas.openxmlformats.org/officeDocument/2006/relationships/hyperlink" Target="javascript:void(0);" TargetMode="External"/><Relationship Id="rId69" Type="http://schemas.openxmlformats.org/officeDocument/2006/relationships/hyperlink" Target="javascript:void(0);" TargetMode="External"/><Relationship Id="rId113" Type="http://schemas.openxmlformats.org/officeDocument/2006/relationships/hyperlink" Target="javascript:void(0);" TargetMode="External"/><Relationship Id="rId134" Type="http://schemas.openxmlformats.org/officeDocument/2006/relationships/hyperlink" Target="javascript:void(0);"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7744-8B67-A541-9322-8EF7DE25C4FA}">
  <dimension ref="A1:D25"/>
  <sheetViews>
    <sheetView zoomScale="119" workbookViewId="0">
      <selection activeCell="B20" sqref="B20"/>
    </sheetView>
    <sheetView tabSelected="1" topLeftCell="A2" zoomScale="116" workbookViewId="1"/>
  </sheetViews>
  <sheetFormatPr baseColWidth="10" defaultColWidth="8.6640625" defaultRowHeight="14" x14ac:dyDescent="0.15"/>
  <cols>
    <col min="1" max="1" width="38.6640625" style="13" customWidth="1"/>
    <col min="2" max="2" width="16.83203125" style="13" customWidth="1"/>
    <col min="3" max="3" width="18.5" style="13" customWidth="1"/>
    <col min="4" max="4" width="17.6640625" style="13" customWidth="1"/>
    <col min="5" max="5" width="15.6640625" style="13" customWidth="1"/>
    <col min="6" max="6" width="14.5" style="13" customWidth="1"/>
    <col min="7" max="7" width="14.33203125" style="13" customWidth="1"/>
    <col min="8" max="16384" width="8.6640625" style="13"/>
  </cols>
  <sheetData>
    <row r="1" spans="1:4" x14ac:dyDescent="0.15">
      <c r="A1" s="12" t="s">
        <v>17</v>
      </c>
      <c r="B1" s="11"/>
      <c r="C1" s="2"/>
    </row>
    <row r="2" spans="1:4" x14ac:dyDescent="0.15">
      <c r="A2" s="14"/>
      <c r="B2" s="6"/>
      <c r="C2" s="2"/>
    </row>
    <row r="3" spans="1:4" ht="18" x14ac:dyDescent="0.25">
      <c r="A3" s="15" t="s">
        <v>16</v>
      </c>
      <c r="B3" s="9">
        <f>B5+B4*B6</f>
        <v>9.5746999999999999E-2</v>
      </c>
      <c r="C3" s="2" t="s">
        <v>15</v>
      </c>
    </row>
    <row r="4" spans="1:4" ht="15" x14ac:dyDescent="0.2">
      <c r="A4" s="16" t="s">
        <v>14</v>
      </c>
      <c r="B4" s="10">
        <v>1.49</v>
      </c>
      <c r="C4" s="30" t="s">
        <v>18</v>
      </c>
    </row>
    <row r="5" spans="1:4" x14ac:dyDescent="0.15">
      <c r="A5" s="16" t="s">
        <v>13</v>
      </c>
      <c r="B5" s="1">
        <v>4.0169999999999997E-2</v>
      </c>
      <c r="C5" s="17" t="s">
        <v>144</v>
      </c>
    </row>
    <row r="6" spans="1:4" ht="15" x14ac:dyDescent="0.2">
      <c r="A6" s="18" t="s">
        <v>12</v>
      </c>
      <c r="B6" s="6">
        <v>3.73E-2</v>
      </c>
      <c r="C6" s="30" t="s">
        <v>11</v>
      </c>
    </row>
    <row r="7" spans="1:4" x14ac:dyDescent="0.15">
      <c r="A7" s="18"/>
      <c r="B7" s="6"/>
      <c r="C7" s="8"/>
    </row>
    <row r="8" spans="1:4" ht="18" x14ac:dyDescent="0.25">
      <c r="A8" s="19" t="s">
        <v>10</v>
      </c>
      <c r="B8" s="5">
        <f>B9</f>
        <v>6.4000000000000001E-2</v>
      </c>
      <c r="D8" s="8"/>
    </row>
    <row r="9" spans="1:4" ht="15" x14ac:dyDescent="0.2">
      <c r="A9" s="20" t="s">
        <v>9</v>
      </c>
      <c r="B9" s="2">
        <v>6.4000000000000001E-2</v>
      </c>
      <c r="C9" s="38" t="s">
        <v>143</v>
      </c>
      <c r="D9" s="8"/>
    </row>
    <row r="10" spans="1:4" x14ac:dyDescent="0.15">
      <c r="A10" s="20"/>
      <c r="B10" s="2"/>
      <c r="C10" s="2"/>
      <c r="D10" s="8"/>
    </row>
    <row r="11" spans="1:4" x14ac:dyDescent="0.15">
      <c r="A11" s="15" t="s">
        <v>142</v>
      </c>
      <c r="B11" s="9">
        <f>B12/B13</f>
        <v>0.11897025743564109</v>
      </c>
      <c r="C11" s="2"/>
      <c r="D11" s="8"/>
    </row>
    <row r="12" spans="1:4" x14ac:dyDescent="0.15">
      <c r="A12" s="16" t="s">
        <v>8</v>
      </c>
      <c r="B12" s="21">
        <f>Income!B11</f>
        <v>1428</v>
      </c>
      <c r="C12" s="2"/>
      <c r="D12" s="8"/>
    </row>
    <row r="13" spans="1:4" x14ac:dyDescent="0.15">
      <c r="A13" s="18" t="s">
        <v>7</v>
      </c>
      <c r="B13" s="22">
        <f>Income!B10</f>
        <v>12003</v>
      </c>
      <c r="C13" s="2"/>
      <c r="D13" s="8"/>
    </row>
    <row r="14" spans="1:4" x14ac:dyDescent="0.15">
      <c r="A14" s="16"/>
      <c r="B14" s="21"/>
      <c r="C14" s="2"/>
      <c r="D14" s="8"/>
    </row>
    <row r="15" spans="1:4" x14ac:dyDescent="0.15">
      <c r="A15" s="23" t="s">
        <v>6</v>
      </c>
      <c r="B15" s="24"/>
      <c r="C15" s="2"/>
      <c r="D15" s="8"/>
    </row>
    <row r="16" spans="1:4" ht="15" x14ac:dyDescent="0.2">
      <c r="A16" s="13" t="s">
        <v>5</v>
      </c>
      <c r="B16" s="25">
        <v>187830</v>
      </c>
      <c r="C16" s="30" t="s">
        <v>18</v>
      </c>
    </row>
    <row r="17" spans="1:3" x14ac:dyDescent="0.15">
      <c r="A17" s="13" t="s">
        <v>4</v>
      </c>
      <c r="B17" s="25">
        <f>Balancesheet!B23+Balancesheet!B26</f>
        <v>42026</v>
      </c>
      <c r="C17" s="2"/>
    </row>
    <row r="18" spans="1:3" ht="18" x14ac:dyDescent="0.25">
      <c r="A18" s="13" t="s">
        <v>3</v>
      </c>
      <c r="B18" s="7">
        <f>B17/(B16+B17)</f>
        <v>0.18283621049700682</v>
      </c>
      <c r="C18" s="2"/>
    </row>
    <row r="19" spans="1:3" ht="18" x14ac:dyDescent="0.25">
      <c r="A19" s="26" t="s">
        <v>2</v>
      </c>
      <c r="B19" s="6">
        <f>1-B18</f>
        <v>0.81716378950299318</v>
      </c>
      <c r="C19" s="2"/>
    </row>
    <row r="20" spans="1:3" x14ac:dyDescent="0.15">
      <c r="A20" s="15" t="s">
        <v>1</v>
      </c>
      <c r="B20" s="5">
        <f>B18*B8*(1-B11)+B19*B3</f>
        <v>8.8550366279342818E-2</v>
      </c>
    </row>
    <row r="21" spans="1:3" ht="18" x14ac:dyDescent="0.25">
      <c r="A21" s="4" t="s">
        <v>0</v>
      </c>
      <c r="B21" s="2"/>
      <c r="C21" s="2"/>
    </row>
    <row r="22" spans="1:3" x14ac:dyDescent="0.15">
      <c r="B22" s="3"/>
      <c r="C22" s="2"/>
    </row>
    <row r="23" spans="1:3" x14ac:dyDescent="0.15">
      <c r="A23" s="27"/>
      <c r="B23" s="28"/>
    </row>
    <row r="24" spans="1:3" x14ac:dyDescent="0.15">
      <c r="A24" s="27"/>
      <c r="B24" s="29"/>
    </row>
    <row r="25" spans="1:3" x14ac:dyDescent="0.15">
      <c r="A25" s="27"/>
      <c r="B25" s="29"/>
      <c r="C25" s="1"/>
    </row>
  </sheetData>
  <hyperlinks>
    <hyperlink ref="C4" r:id="rId1" xr:uid="{78AFB35B-6C0E-8C4E-9645-6B24A337DA1C}"/>
    <hyperlink ref="C6" r:id="rId2" xr:uid="{DD6BA783-3610-1449-8A1D-855D55238E88}"/>
    <hyperlink ref="C16" r:id="rId3" xr:uid="{DA9C2B0F-A2F7-7342-8FB6-C8E3F8CA8AE5}"/>
  </hyperlinks>
  <pageMargins left="0.7" right="0.7" top="0.75" bottom="0.75" header="0.3" footer="0.3"/>
  <pageSetup paperSize="9" orientation="portrait"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785-09DA-8144-9175-D180AFB67762}">
  <dimension ref="A1:F87"/>
  <sheetViews>
    <sheetView tabSelected="1" zoomScale="120" zoomScaleNormal="120" workbookViewId="0">
      <selection activeCell="M34" sqref="M34"/>
    </sheetView>
    <sheetView workbookViewId="1"/>
  </sheetViews>
  <sheetFormatPr baseColWidth="10" defaultRowHeight="16" x14ac:dyDescent="0.2"/>
  <cols>
    <col min="1" max="1" width="52.6640625" customWidth="1"/>
    <col min="2" max="2" width="12.33203125" bestFit="1" customWidth="1"/>
    <col min="3" max="4" width="8.83203125" bestFit="1" customWidth="1"/>
    <col min="5" max="5" width="9.5" bestFit="1" customWidth="1"/>
  </cols>
  <sheetData>
    <row r="1" spans="1:5" x14ac:dyDescent="0.2">
      <c r="A1" s="39" t="s">
        <v>145</v>
      </c>
      <c r="B1" s="40"/>
      <c r="C1" s="41"/>
      <c r="D1" s="42"/>
    </row>
    <row r="2" spans="1:5" x14ac:dyDescent="0.2">
      <c r="A2" s="43" t="s">
        <v>146</v>
      </c>
      <c r="B2" s="44" t="s">
        <v>147</v>
      </c>
      <c r="C2" s="42"/>
      <c r="D2" s="42"/>
    </row>
    <row r="3" spans="1:5" x14ac:dyDescent="0.2">
      <c r="A3" s="45">
        <v>2025</v>
      </c>
      <c r="B3" s="46">
        <f>Income!B2</f>
        <v>94425</v>
      </c>
      <c r="C3" s="47"/>
      <c r="D3" s="48"/>
    </row>
    <row r="4" spans="1:5" x14ac:dyDescent="0.2">
      <c r="A4" s="45">
        <v>2024</v>
      </c>
      <c r="B4" s="46">
        <f>Income!C2</f>
        <v>91361</v>
      </c>
      <c r="C4" s="47"/>
      <c r="D4" s="48"/>
    </row>
    <row r="5" spans="1:5" x14ac:dyDescent="0.2">
      <c r="A5" s="45">
        <v>2023</v>
      </c>
      <c r="B5" s="46">
        <f>Income!D2</f>
        <v>88898</v>
      </c>
      <c r="C5" s="47"/>
      <c r="D5" s="48"/>
    </row>
    <row r="6" spans="1:5" x14ac:dyDescent="0.2">
      <c r="A6" s="45">
        <v>2022</v>
      </c>
      <c r="B6" s="46">
        <f>Income!J4</f>
        <v>82722</v>
      </c>
      <c r="C6" s="47"/>
      <c r="D6" s="48"/>
    </row>
    <row r="7" spans="1:5" x14ac:dyDescent="0.2">
      <c r="A7" s="45">
        <v>2021</v>
      </c>
      <c r="B7" s="46">
        <f>Income!P4</f>
        <v>67418</v>
      </c>
      <c r="C7" s="47"/>
      <c r="D7" s="48"/>
    </row>
    <row r="8" spans="1:5" x14ac:dyDescent="0.2">
      <c r="A8" s="49">
        <v>2020</v>
      </c>
      <c r="B8" s="50">
        <f>Income!V4</f>
        <v>65388</v>
      </c>
      <c r="C8" s="47"/>
      <c r="D8" s="42"/>
    </row>
    <row r="9" spans="1:5" x14ac:dyDescent="0.2">
      <c r="A9" s="45"/>
      <c r="B9" s="45"/>
      <c r="C9" s="45"/>
      <c r="D9" s="42"/>
    </row>
    <row r="10" spans="1:5" x14ac:dyDescent="0.2">
      <c r="A10" s="51" t="s">
        <v>148</v>
      </c>
      <c r="B10" s="52">
        <f>(B3/B8)^(1/5)-1</f>
        <v>7.6261457691607637E-2</v>
      </c>
      <c r="C10" s="53"/>
      <c r="D10" s="42"/>
    </row>
    <row r="11" spans="1:5" x14ac:dyDescent="0.2">
      <c r="A11" s="42"/>
      <c r="B11" s="42"/>
      <c r="C11" s="42"/>
      <c r="D11" s="42"/>
    </row>
    <row r="13" spans="1:5" x14ac:dyDescent="0.2">
      <c r="A13" s="54" t="s">
        <v>149</v>
      </c>
      <c r="B13" s="42"/>
      <c r="C13" s="42"/>
      <c r="D13" s="42"/>
      <c r="E13" s="42"/>
    </row>
    <row r="14" spans="1:5" x14ac:dyDescent="0.2">
      <c r="A14" s="39" t="s">
        <v>146</v>
      </c>
      <c r="B14" s="39">
        <v>2025</v>
      </c>
      <c r="C14" s="55">
        <v>2024</v>
      </c>
      <c r="D14" s="55">
        <v>2023</v>
      </c>
      <c r="E14" s="56" t="s">
        <v>150</v>
      </c>
    </row>
    <row r="15" spans="1:5" x14ac:dyDescent="0.2">
      <c r="A15" s="42" t="s">
        <v>151</v>
      </c>
      <c r="B15" s="57">
        <f>B3</f>
        <v>94425</v>
      </c>
      <c r="C15" s="57">
        <f>B4</f>
        <v>91361</v>
      </c>
      <c r="D15" s="57">
        <f>B5</f>
        <v>88898</v>
      </c>
      <c r="E15" s="42"/>
    </row>
    <row r="16" spans="1:5" x14ac:dyDescent="0.2">
      <c r="A16" s="42"/>
      <c r="B16" s="42"/>
      <c r="C16" s="42"/>
      <c r="D16" s="42"/>
      <c r="E16" s="42"/>
    </row>
    <row r="17" spans="1:5" x14ac:dyDescent="0.2">
      <c r="A17" s="58" t="s">
        <v>49</v>
      </c>
      <c r="B17" s="42"/>
      <c r="C17" s="42"/>
      <c r="D17" s="42"/>
      <c r="E17" s="42"/>
    </row>
    <row r="18" spans="1:5" x14ac:dyDescent="0.2">
      <c r="A18" s="42" t="s">
        <v>152</v>
      </c>
      <c r="B18" s="57">
        <f>Balancesheet!B4</f>
        <v>13217</v>
      </c>
      <c r="C18" s="57">
        <f>Balancesheet!C4</f>
        <v>12729</v>
      </c>
      <c r="D18" s="57">
        <f>Balancesheet!D4</f>
        <v>12330</v>
      </c>
      <c r="E18" s="42"/>
    </row>
    <row r="19" spans="1:5" x14ac:dyDescent="0.2">
      <c r="A19" s="42" t="s">
        <v>52</v>
      </c>
      <c r="B19" s="57">
        <f>Balancesheet!B5</f>
        <v>2134</v>
      </c>
      <c r="C19" s="57">
        <f>Balancesheet!C5</f>
        <v>2022</v>
      </c>
      <c r="D19" s="57">
        <f>Balancesheet!D5</f>
        <v>1963</v>
      </c>
      <c r="E19" s="42"/>
    </row>
    <row r="20" spans="1:5" x14ac:dyDescent="0.2">
      <c r="A20" s="68" t="s">
        <v>159</v>
      </c>
      <c r="B20" s="69">
        <f>Balancesheet!B6</f>
        <v>2063</v>
      </c>
      <c r="C20" s="69">
        <f>Balancesheet!C6</f>
        <v>2097</v>
      </c>
      <c r="D20" s="69">
        <f>Balancesheet!D6</f>
        <v>3002</v>
      </c>
      <c r="E20" s="42"/>
    </row>
    <row r="21" spans="1:5" x14ac:dyDescent="0.2">
      <c r="A21" s="59" t="s">
        <v>157</v>
      </c>
      <c r="B21" s="60">
        <f>Balancesheet!B7</f>
        <v>1158</v>
      </c>
      <c r="C21" s="60">
        <f>Balancesheet!C7</f>
        <v>2391</v>
      </c>
      <c r="D21" s="60">
        <f>Balancesheet!D7</f>
        <v>1286</v>
      </c>
      <c r="E21" s="42"/>
    </row>
    <row r="22" spans="1:5" x14ac:dyDescent="0.2">
      <c r="A22" s="40" t="s">
        <v>55</v>
      </c>
      <c r="B22" s="61">
        <f>SUM(B18:B21)</f>
        <v>18572</v>
      </c>
      <c r="C22" s="61">
        <f>SUM(C18:C21)</f>
        <v>19239</v>
      </c>
      <c r="D22" s="61">
        <f>SUM(D18:D21)</f>
        <v>18581</v>
      </c>
      <c r="E22" s="42"/>
    </row>
    <row r="23" spans="1:5" x14ac:dyDescent="0.2">
      <c r="A23" s="58" t="s">
        <v>153</v>
      </c>
      <c r="B23" s="53">
        <f>B22/B15</f>
        <v>0.19668519989409583</v>
      </c>
      <c r="C23" s="53">
        <f>C22/C15</f>
        <v>0.21058219590416041</v>
      </c>
      <c r="D23" s="53">
        <f>D22/D15</f>
        <v>0.20901482598033702</v>
      </c>
      <c r="E23" s="62">
        <f>AVERAGE(B23:D23)</f>
        <v>0.2054274072595311</v>
      </c>
    </row>
    <row r="24" spans="1:5" x14ac:dyDescent="0.2">
      <c r="A24" s="42"/>
      <c r="B24" s="2"/>
      <c r="C24" s="2"/>
      <c r="D24" s="2"/>
      <c r="E24" s="42"/>
    </row>
    <row r="25" spans="1:5" x14ac:dyDescent="0.2">
      <c r="A25" s="58" t="s">
        <v>68</v>
      </c>
      <c r="B25" s="63"/>
      <c r="C25" s="63"/>
      <c r="D25" s="63"/>
      <c r="E25" s="42"/>
    </row>
    <row r="26" spans="1:5" x14ac:dyDescent="0.2">
      <c r="A26" s="42" t="s">
        <v>158</v>
      </c>
      <c r="B26" s="57">
        <f>Balancesheet!B22</f>
        <v>21203</v>
      </c>
      <c r="C26" s="57">
        <f>Balancesheet!C22</f>
        <v>21070</v>
      </c>
      <c r="D26" s="57">
        <f>Balancesheet!D22</f>
        <v>20671</v>
      </c>
      <c r="E26" s="42"/>
    </row>
    <row r="27" spans="1:5" x14ac:dyDescent="0.2">
      <c r="A27" s="42" t="s">
        <v>160</v>
      </c>
      <c r="B27" s="64">
        <f>Balancesheet!B24</f>
        <v>6248</v>
      </c>
      <c r="C27" s="64">
        <f>Balancesheet!C24</f>
        <v>6684</v>
      </c>
      <c r="D27" s="64">
        <f>Balancesheet!D24</f>
        <v>6138</v>
      </c>
      <c r="E27" s="42"/>
    </row>
    <row r="28" spans="1:5" x14ac:dyDescent="0.2">
      <c r="A28" s="40" t="s">
        <v>72</v>
      </c>
      <c r="B28" s="61">
        <f>SUM(B26:B27)</f>
        <v>27451</v>
      </c>
      <c r="C28" s="61">
        <f>SUM(C26:C27)</f>
        <v>27754</v>
      </c>
      <c r="D28" s="61">
        <f>SUM(D26:D27)</f>
        <v>26809</v>
      </c>
      <c r="E28" s="42"/>
    </row>
    <row r="29" spans="1:5" x14ac:dyDescent="0.2">
      <c r="A29" s="58" t="s">
        <v>154</v>
      </c>
      <c r="B29" s="53">
        <f>B28/B15</f>
        <v>0.290717500661901</v>
      </c>
      <c r="C29" s="53">
        <f>C28/C15</f>
        <v>0.30378389028141112</v>
      </c>
      <c r="D29" s="53">
        <f>D28/D15</f>
        <v>0.30157033904024838</v>
      </c>
      <c r="E29" s="62">
        <f>AVERAGE(B29:D29)</f>
        <v>0.29869057666118687</v>
      </c>
    </row>
    <row r="30" spans="1:5" x14ac:dyDescent="0.2">
      <c r="A30" s="42"/>
      <c r="B30" s="42"/>
      <c r="C30" s="42"/>
      <c r="D30" s="42"/>
      <c r="E30" s="42"/>
    </row>
    <row r="31" spans="1:5" x14ac:dyDescent="0.2">
      <c r="A31" s="65" t="s">
        <v>155</v>
      </c>
      <c r="B31" s="66">
        <f>B22-B28</f>
        <v>-8879</v>
      </c>
      <c r="C31" s="65">
        <f>C22-C28</f>
        <v>-8515</v>
      </c>
      <c r="D31" s="66">
        <f>D22-D28</f>
        <v>-8228</v>
      </c>
      <c r="E31" s="42"/>
    </row>
    <row r="32" spans="1:5" x14ac:dyDescent="0.2">
      <c r="A32" s="42" t="s">
        <v>156</v>
      </c>
      <c r="B32" s="53">
        <f>B31/B15</f>
        <v>-9.4032300767805138E-2</v>
      </c>
      <c r="C32" s="53">
        <f>C31/C15</f>
        <v>-9.3201694377250691E-2</v>
      </c>
      <c r="D32" s="53">
        <f>D31/D15</f>
        <v>-9.255551305991136E-2</v>
      </c>
      <c r="E32" s="42"/>
    </row>
    <row r="35" spans="1:6" x14ac:dyDescent="0.2">
      <c r="A35" s="54" t="s">
        <v>161</v>
      </c>
      <c r="B35" s="42"/>
      <c r="C35" s="42"/>
      <c r="D35" s="42"/>
      <c r="E35" s="42"/>
    </row>
    <row r="36" spans="1:6" x14ac:dyDescent="0.2">
      <c r="A36" s="39" t="s">
        <v>146</v>
      </c>
      <c r="B36" s="39">
        <v>2025</v>
      </c>
      <c r="C36" s="55">
        <v>2024</v>
      </c>
      <c r="D36" s="55">
        <v>2023</v>
      </c>
      <c r="E36" s="42"/>
    </row>
    <row r="37" spans="1:6" x14ac:dyDescent="0.2">
      <c r="A37" s="42" t="s">
        <v>163</v>
      </c>
      <c r="B37" s="74">
        <f>Balancesheet!B11</f>
        <v>82041</v>
      </c>
      <c r="C37" s="74">
        <f>Balancesheet!C11</f>
        <v>76674</v>
      </c>
      <c r="D37" s="74">
        <f>Balancesheet!D11</f>
        <v>70090</v>
      </c>
      <c r="E37" s="42"/>
    </row>
    <row r="38" spans="1:6" x14ac:dyDescent="0.2">
      <c r="A38" s="58" t="s">
        <v>226</v>
      </c>
      <c r="B38" s="135">
        <f>B37</f>
        <v>82041</v>
      </c>
      <c r="C38" s="135">
        <f t="shared" ref="C38:D38" si="0">C37</f>
        <v>76674</v>
      </c>
      <c r="D38" s="135">
        <f t="shared" si="0"/>
        <v>70090</v>
      </c>
      <c r="E38" s="42"/>
    </row>
    <row r="39" spans="1:6" x14ac:dyDescent="0.2">
      <c r="A39" s="59" t="s">
        <v>59</v>
      </c>
      <c r="B39" s="72">
        <f>Balancesheet!B12</f>
        <v>-48889</v>
      </c>
      <c r="C39" s="72">
        <f>Balancesheet!C12</f>
        <v>-45506</v>
      </c>
      <c r="D39" s="72">
        <f>Balancesheet!D12</f>
        <v>-42610</v>
      </c>
      <c r="E39" s="42"/>
    </row>
    <row r="40" spans="1:6" x14ac:dyDescent="0.2">
      <c r="A40" s="65" t="s">
        <v>217</v>
      </c>
      <c r="B40" s="136">
        <f>SUM(B38:B39)</f>
        <v>33152</v>
      </c>
      <c r="C40" s="136">
        <f t="shared" ref="C40:D40" si="1">SUM(C38:C39)</f>
        <v>31168</v>
      </c>
      <c r="D40" s="136">
        <f t="shared" si="1"/>
        <v>27480</v>
      </c>
      <c r="E40" s="42"/>
    </row>
    <row r="41" spans="1:6" x14ac:dyDescent="0.2">
      <c r="A41" s="68" t="s">
        <v>61</v>
      </c>
      <c r="B41" s="83">
        <f>Balancesheet!B14</f>
        <v>6911</v>
      </c>
      <c r="C41" s="83">
        <f>Balancesheet!C14</f>
        <v>4728</v>
      </c>
      <c r="D41" s="83">
        <f>Balancesheet!D14</f>
        <v>6285</v>
      </c>
      <c r="E41" s="42"/>
    </row>
    <row r="42" spans="1:6" x14ac:dyDescent="0.2">
      <c r="A42" s="68" t="s">
        <v>62</v>
      </c>
      <c r="B42" s="83">
        <f>Balancesheet!B15</f>
        <v>1192</v>
      </c>
      <c r="C42" s="83">
        <f>Balancesheet!C15</f>
        <v>1145</v>
      </c>
      <c r="D42" s="83">
        <f>Balancesheet!D15</f>
        <v>1176</v>
      </c>
      <c r="E42" s="42"/>
    </row>
    <row r="43" spans="1:6" x14ac:dyDescent="0.2">
      <c r="A43" s="65" t="s">
        <v>232</v>
      </c>
      <c r="B43" s="136">
        <f>SUM(B40:B42)</f>
        <v>41255</v>
      </c>
      <c r="C43" s="136">
        <f t="shared" ref="C43:D43" si="2">SUM(C40:C42)</f>
        <v>37041</v>
      </c>
      <c r="D43" s="136">
        <f t="shared" si="2"/>
        <v>34941</v>
      </c>
      <c r="E43" s="42"/>
    </row>
    <row r="44" spans="1:6" x14ac:dyDescent="0.2">
      <c r="A44" s="58" t="s">
        <v>162</v>
      </c>
      <c r="B44" s="73">
        <f>B43/B15</f>
        <v>0.43690759862324596</v>
      </c>
      <c r="C44" s="73">
        <f t="shared" ref="C44:D44" si="3">C43/C15</f>
        <v>0.40543557973314653</v>
      </c>
      <c r="D44" s="73">
        <f t="shared" si="3"/>
        <v>0.39304596278881415</v>
      </c>
      <c r="E44" s="62">
        <f>AVERAGE(B44:D44)</f>
        <v>0.41179638038173555</v>
      </c>
    </row>
    <row r="45" spans="1:6" x14ac:dyDescent="0.2">
      <c r="A45" s="42"/>
      <c r="B45" s="42"/>
      <c r="C45" s="42"/>
      <c r="D45" s="42"/>
      <c r="E45" s="42"/>
    </row>
    <row r="47" spans="1:6" x14ac:dyDescent="0.2">
      <c r="A47" s="70" t="s">
        <v>164</v>
      </c>
      <c r="B47" s="59"/>
      <c r="C47" s="59"/>
      <c r="D47" s="59"/>
      <c r="E47" s="42"/>
    </row>
    <row r="48" spans="1:6" x14ac:dyDescent="0.2">
      <c r="A48" s="39" t="s">
        <v>146</v>
      </c>
      <c r="B48" s="39">
        <v>2025</v>
      </c>
      <c r="C48" s="55">
        <v>2024</v>
      </c>
      <c r="D48" s="55">
        <v>2023</v>
      </c>
      <c r="E48" s="42"/>
      <c r="F48" t="s">
        <v>259</v>
      </c>
    </row>
    <row r="49" spans="1:6" x14ac:dyDescent="0.2">
      <c r="A49" s="86" t="s">
        <v>214</v>
      </c>
      <c r="B49" s="128">
        <f>B38</f>
        <v>82041</v>
      </c>
      <c r="C49" s="128">
        <f t="shared" ref="C49:D49" si="4">C38</f>
        <v>76674</v>
      </c>
      <c r="D49" s="128">
        <f t="shared" si="4"/>
        <v>70090</v>
      </c>
      <c r="E49" s="42"/>
    </row>
    <row r="50" spans="1:6" x14ac:dyDescent="0.2">
      <c r="A50" s="59" t="s">
        <v>165</v>
      </c>
      <c r="B50" s="75">
        <f>Cashflow!B4</f>
        <v>5326</v>
      </c>
      <c r="C50" s="75">
        <f>Cashflow!C4</f>
        <v>4990</v>
      </c>
      <c r="D50" s="75">
        <f>Cashflow!D4</f>
        <v>5369</v>
      </c>
      <c r="E50" s="42"/>
      <c r="F50" t="s">
        <v>260</v>
      </c>
    </row>
    <row r="51" spans="1:6" x14ac:dyDescent="0.2">
      <c r="A51" s="58" t="s">
        <v>166</v>
      </c>
      <c r="B51" s="53">
        <f>B50/C49</f>
        <v>6.9462920937997233E-2</v>
      </c>
      <c r="C51" s="53">
        <f>C50/D49</f>
        <v>7.1194178912826367E-2</v>
      </c>
      <c r="D51" s="53"/>
      <c r="E51" s="62">
        <f>AVERAGE(B51:D51)</f>
        <v>7.0328549925411793E-2</v>
      </c>
    </row>
    <row r="54" spans="1:6" x14ac:dyDescent="0.2">
      <c r="A54" s="54" t="s">
        <v>176</v>
      </c>
      <c r="B54" s="42"/>
      <c r="C54" s="42"/>
      <c r="D54" s="42"/>
      <c r="E54" s="42"/>
    </row>
    <row r="55" spans="1:6" x14ac:dyDescent="0.2">
      <c r="A55" s="101" t="s">
        <v>146</v>
      </c>
      <c r="B55" s="101">
        <v>2025</v>
      </c>
      <c r="C55" s="102">
        <v>2024</v>
      </c>
      <c r="D55" s="102">
        <v>2023</v>
      </c>
      <c r="E55" s="42"/>
      <c r="F55" t="s">
        <v>258</v>
      </c>
    </row>
    <row r="56" spans="1:6" x14ac:dyDescent="0.2">
      <c r="A56" s="44" t="s">
        <v>210</v>
      </c>
      <c r="B56" s="124">
        <f>Income!B23</f>
        <v>-52677</v>
      </c>
      <c r="C56" s="124">
        <f>Income!C23</f>
        <v>-52509</v>
      </c>
      <c r="D56" s="124">
        <f>Income!D23</f>
        <v>-53139</v>
      </c>
      <c r="E56" s="42"/>
    </row>
    <row r="57" spans="1:6" x14ac:dyDescent="0.2">
      <c r="A57" s="59" t="s">
        <v>211</v>
      </c>
      <c r="B57" s="103">
        <f>Income!B26</f>
        <v>-6089</v>
      </c>
      <c r="C57" s="103">
        <f>Income!C26</f>
        <v>-6189</v>
      </c>
      <c r="D57" s="103">
        <f>Income!D26</f>
        <v>-6062</v>
      </c>
      <c r="E57" s="42"/>
    </row>
    <row r="58" spans="1:6" x14ac:dyDescent="0.2">
      <c r="A58" s="40" t="s">
        <v>227</v>
      </c>
      <c r="B58" s="96">
        <f>SUM(B56:B57)</f>
        <v>-58766</v>
      </c>
      <c r="C58" s="96">
        <f t="shared" ref="C58:D58" si="5">SUM(C56:C57)</f>
        <v>-58698</v>
      </c>
      <c r="D58" s="96">
        <f t="shared" si="5"/>
        <v>-59201</v>
      </c>
      <c r="E58" s="42"/>
    </row>
    <row r="59" spans="1:6" x14ac:dyDescent="0.2">
      <c r="A59" s="58" t="s">
        <v>256</v>
      </c>
      <c r="B59" s="53">
        <f>-((B56+B57)/B15)</f>
        <v>0.62235636748742384</v>
      </c>
      <c r="C59" s="53">
        <f>-((C56+C57)/C15)</f>
        <v>0.64248421098718267</v>
      </c>
      <c r="D59" s="53">
        <f>-((D56+D57)/D15)</f>
        <v>0.66594299084343855</v>
      </c>
      <c r="E59" s="62">
        <f>AVERAGE(B59:D59)</f>
        <v>0.64359452310601506</v>
      </c>
    </row>
    <row r="62" spans="1:6" x14ac:dyDescent="0.2">
      <c r="A62" s="54" t="s">
        <v>177</v>
      </c>
      <c r="B62" s="42"/>
      <c r="C62" s="42"/>
      <c r="D62" s="42"/>
      <c r="E62" s="42"/>
    </row>
    <row r="63" spans="1:6" x14ac:dyDescent="0.2">
      <c r="A63" s="39" t="s">
        <v>146</v>
      </c>
      <c r="B63" s="39">
        <v>2025</v>
      </c>
      <c r="C63" s="55">
        <v>2024</v>
      </c>
      <c r="D63" s="55">
        <v>2023</v>
      </c>
      <c r="E63" s="42"/>
    </row>
    <row r="64" spans="1:6" x14ac:dyDescent="0.2">
      <c r="A64" s="40" t="s">
        <v>19</v>
      </c>
      <c r="B64" s="96">
        <f>Income!B3</f>
        <v>-16501</v>
      </c>
      <c r="C64" s="96">
        <f>Income!C3</f>
        <v>-15759</v>
      </c>
      <c r="D64" s="96">
        <f>Income!D3</f>
        <v>-15336</v>
      </c>
      <c r="E64" s="42"/>
    </row>
    <row r="65" spans="1:6" x14ac:dyDescent="0.2">
      <c r="A65" s="58" t="s">
        <v>178</v>
      </c>
      <c r="B65" s="73">
        <f>-B64/B15</f>
        <v>0.17475244903362458</v>
      </c>
      <c r="C65" s="73">
        <f>-C64/C15</f>
        <v>0.17249154453213078</v>
      </c>
      <c r="D65" s="73">
        <f>-D64/D15</f>
        <v>0.17251231748745754</v>
      </c>
      <c r="E65" s="62">
        <f>AVERAGE(B65:D65)</f>
        <v>0.17325210368440427</v>
      </c>
    </row>
    <row r="68" spans="1:6" x14ac:dyDescent="0.2">
      <c r="A68" s="70" t="s">
        <v>182</v>
      </c>
      <c r="B68" s="59"/>
      <c r="C68" s="59"/>
      <c r="D68" s="59"/>
      <c r="E68" s="42"/>
    </row>
    <row r="69" spans="1:6" x14ac:dyDescent="0.2">
      <c r="A69" s="70" t="s">
        <v>146</v>
      </c>
      <c r="B69" s="70">
        <v>2025</v>
      </c>
      <c r="C69" s="71">
        <v>2024</v>
      </c>
      <c r="D69" s="71">
        <v>2023</v>
      </c>
      <c r="E69" s="42"/>
    </row>
    <row r="70" spans="1:6" x14ac:dyDescent="0.2">
      <c r="A70" s="42" t="s">
        <v>179</v>
      </c>
      <c r="B70" s="97">
        <f>Income!B10</f>
        <v>12003</v>
      </c>
      <c r="C70" s="97">
        <f>Income!C10</f>
        <v>7569</v>
      </c>
      <c r="D70" s="97">
        <f>Income!D10</f>
        <v>4769</v>
      </c>
      <c r="E70" s="42"/>
    </row>
    <row r="71" spans="1:6" x14ac:dyDescent="0.2">
      <c r="A71" s="42" t="s">
        <v>180</v>
      </c>
      <c r="B71" s="97">
        <f>Income!B11</f>
        <v>1428</v>
      </c>
      <c r="C71" s="97">
        <f>Income!C11</f>
        <v>-1796</v>
      </c>
      <c r="D71" s="97">
        <f>Income!D11</f>
        <v>-1379</v>
      </c>
      <c r="E71" s="42"/>
    </row>
    <row r="72" spans="1:6" x14ac:dyDescent="0.2">
      <c r="A72" s="59" t="s">
        <v>181</v>
      </c>
      <c r="B72" s="100">
        <f>-B71/B70</f>
        <v>-0.11897025743564109</v>
      </c>
      <c r="C72" s="98">
        <f t="shared" ref="C72:D72" si="6">-C71/C70</f>
        <v>0.23728365702206369</v>
      </c>
      <c r="D72" s="98">
        <f t="shared" si="6"/>
        <v>0.28915915286223526</v>
      </c>
      <c r="E72" s="99">
        <f>AVERAGE(B72:D72)</f>
        <v>0.13582418414955263</v>
      </c>
    </row>
    <row r="73" spans="1:6" x14ac:dyDescent="0.2">
      <c r="A73" s="58"/>
      <c r="B73" s="48"/>
      <c r="C73" s="42"/>
      <c r="D73" s="42"/>
      <c r="E73" s="62">
        <v>0.24</v>
      </c>
      <c r="F73" t="s">
        <v>183</v>
      </c>
    </row>
    <row r="76" spans="1:6" x14ac:dyDescent="0.2">
      <c r="A76" s="54" t="s">
        <v>184</v>
      </c>
      <c r="B76" s="42"/>
      <c r="C76" s="42"/>
      <c r="D76" s="42"/>
      <c r="E76" s="42"/>
    </row>
    <row r="77" spans="1:6" x14ac:dyDescent="0.2">
      <c r="A77" s="39" t="s">
        <v>146</v>
      </c>
      <c r="B77" s="39">
        <v>2025</v>
      </c>
      <c r="C77" s="55">
        <v>2024</v>
      </c>
      <c r="D77" s="55">
        <v>2023</v>
      </c>
      <c r="E77" s="42"/>
      <c r="F77" t="s">
        <v>230</v>
      </c>
    </row>
    <row r="78" spans="1:6" x14ac:dyDescent="0.2">
      <c r="A78" s="40" t="s">
        <v>98</v>
      </c>
      <c r="B78" s="96">
        <f>Cashflow!B20</f>
        <v>-8024</v>
      </c>
      <c r="C78" s="96">
        <f>Cashflow!C20</f>
        <v>-5412</v>
      </c>
      <c r="D78" s="96">
        <f>Cashflow!D20</f>
        <v>-4969</v>
      </c>
      <c r="E78" s="42"/>
    </row>
    <row r="79" spans="1:6" x14ac:dyDescent="0.2">
      <c r="A79" s="58" t="s">
        <v>185</v>
      </c>
      <c r="B79" s="73">
        <f>-B78/B15</f>
        <v>8.4977495366693148E-2</v>
      </c>
      <c r="C79" s="73">
        <f>-C78/C15</f>
        <v>5.9237530237190923E-2</v>
      </c>
      <c r="D79" s="73">
        <f>-D78/D15</f>
        <v>5.5895520709127317E-2</v>
      </c>
      <c r="E79" s="62">
        <f>AVERAGE(B79:D79)</f>
        <v>6.670351543767046E-2</v>
      </c>
    </row>
    <row r="82" spans="1:6" x14ac:dyDescent="0.2">
      <c r="A82" s="54" t="s">
        <v>186</v>
      </c>
      <c r="B82" s="42"/>
      <c r="C82" s="42"/>
      <c r="D82" s="42"/>
      <c r="E82" s="42"/>
    </row>
    <row r="83" spans="1:6" x14ac:dyDescent="0.2">
      <c r="A83" s="39" t="s">
        <v>146</v>
      </c>
      <c r="B83" s="39">
        <v>2025</v>
      </c>
      <c r="C83" s="55">
        <v>2024</v>
      </c>
      <c r="D83" s="55">
        <v>2023</v>
      </c>
      <c r="E83" s="42"/>
      <c r="F83" t="s">
        <v>261</v>
      </c>
    </row>
    <row r="84" spans="1:6" x14ac:dyDescent="0.2">
      <c r="A84" s="68" t="s">
        <v>23</v>
      </c>
      <c r="B84" s="105">
        <f>Income!B8</f>
        <v>-1305</v>
      </c>
      <c r="C84" s="105">
        <f>Income!C8</f>
        <v>-1260</v>
      </c>
      <c r="D84" s="105">
        <f>Income!D8</f>
        <v>-1209</v>
      </c>
      <c r="E84" s="42"/>
    </row>
    <row r="85" spans="1:6" x14ac:dyDescent="0.2">
      <c r="A85" s="104" t="s">
        <v>70</v>
      </c>
      <c r="B85" s="106">
        <f>Balancesheet!B23</f>
        <v>6711</v>
      </c>
      <c r="C85" s="106">
        <f>Balancesheet!C23</f>
        <v>6845</v>
      </c>
      <c r="D85" s="106">
        <f>Balancesheet!D23</f>
        <v>4330</v>
      </c>
      <c r="E85" s="42"/>
    </row>
    <row r="86" spans="1:6" x14ac:dyDescent="0.2">
      <c r="A86" s="107" t="s">
        <v>187</v>
      </c>
      <c r="B86" s="108">
        <f>Balancesheet!B26</f>
        <v>35315</v>
      </c>
      <c r="C86" s="108">
        <f>Balancesheet!C26</f>
        <v>38970</v>
      </c>
      <c r="D86" s="108">
        <f>Balancesheet!D26</f>
        <v>42101</v>
      </c>
      <c r="E86" s="42"/>
    </row>
    <row r="87" spans="1:6" x14ac:dyDescent="0.2">
      <c r="A87" s="58" t="s">
        <v>188</v>
      </c>
      <c r="B87" s="53">
        <f>-(B84/(B85+B86))</f>
        <v>3.105220577737591E-2</v>
      </c>
      <c r="C87" s="53">
        <f t="shared" ref="C87:D87" si="7">-(C84/(C85+C86))</f>
        <v>2.7501909854851032E-2</v>
      </c>
      <c r="D87" s="53">
        <f t="shared" si="7"/>
        <v>2.6038637978936487E-2</v>
      </c>
      <c r="E87" s="62">
        <f>AVERAGE(B87:D87)</f>
        <v>2.8197584537054479E-2</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86AD6-F86C-E648-B0E6-894FB6D81D27}">
  <dimension ref="A1:I89"/>
  <sheetViews>
    <sheetView zoomScaleNormal="100" workbookViewId="0">
      <selection activeCell="I47" sqref="I47"/>
    </sheetView>
    <sheetView topLeftCell="A45" workbookViewId="1">
      <selection activeCell="B78" sqref="B78"/>
    </sheetView>
  </sheetViews>
  <sheetFormatPr baseColWidth="10" defaultColWidth="9.1640625" defaultRowHeight="16" x14ac:dyDescent="0.2"/>
  <cols>
    <col min="1" max="1" width="43.5" style="67" bestFit="1" customWidth="1"/>
    <col min="2" max="2" width="10" style="67" bestFit="1" customWidth="1"/>
    <col min="3" max="7" width="11.6640625" style="67" bestFit="1" customWidth="1"/>
    <col min="8" max="16384" width="9.1640625" style="67"/>
  </cols>
  <sheetData>
    <row r="1" spans="1:7" x14ac:dyDescent="0.2">
      <c r="A1" s="151" t="s">
        <v>206</v>
      </c>
      <c r="B1" s="152"/>
      <c r="C1" s="152"/>
      <c r="D1" s="153"/>
      <c r="E1" s="153"/>
      <c r="F1" s="153"/>
      <c r="G1" s="153"/>
    </row>
    <row r="2" spans="1:7" x14ac:dyDescent="0.2">
      <c r="A2" s="111"/>
      <c r="B2" s="112" t="s">
        <v>167</v>
      </c>
      <c r="C2" s="112" t="s">
        <v>168</v>
      </c>
      <c r="D2" s="112" t="s">
        <v>169</v>
      </c>
      <c r="E2" s="112" t="s">
        <v>170</v>
      </c>
      <c r="F2" s="112" t="s">
        <v>171</v>
      </c>
      <c r="G2" s="112" t="s">
        <v>172</v>
      </c>
    </row>
    <row r="3" spans="1:7" x14ac:dyDescent="0.2">
      <c r="A3" s="79" t="s">
        <v>189</v>
      </c>
      <c r="B3" s="113"/>
      <c r="C3" s="114">
        <f>Assumptions!B10</f>
        <v>7.6261457691607637E-2</v>
      </c>
      <c r="D3" s="114">
        <f>C3</f>
        <v>7.6261457691607637E-2</v>
      </c>
      <c r="E3" s="114">
        <f t="shared" ref="E3:G3" si="0">D3</f>
        <v>7.6261457691607637E-2</v>
      </c>
      <c r="F3" s="114">
        <f t="shared" si="0"/>
        <v>7.6261457691607637E-2</v>
      </c>
      <c r="G3" s="114">
        <f t="shared" si="0"/>
        <v>7.6261457691607637E-2</v>
      </c>
    </row>
    <row r="4" spans="1:7" x14ac:dyDescent="0.2">
      <c r="A4" s="79" t="s">
        <v>207</v>
      </c>
      <c r="B4" s="115"/>
      <c r="C4" s="114">
        <f>Assumptions!E59</f>
        <v>0.64359452310601506</v>
      </c>
      <c r="D4" s="114">
        <f>C4</f>
        <v>0.64359452310601506</v>
      </c>
      <c r="E4" s="114">
        <f t="shared" ref="E4:F4" si="1">D4</f>
        <v>0.64359452310601506</v>
      </c>
      <c r="F4" s="114">
        <f t="shared" si="1"/>
        <v>0.64359452310601506</v>
      </c>
      <c r="G4" s="114">
        <f>F4</f>
        <v>0.64359452310601506</v>
      </c>
    </row>
    <row r="5" spans="1:7" x14ac:dyDescent="0.2">
      <c r="A5" s="79" t="s">
        <v>190</v>
      </c>
      <c r="B5" s="115"/>
      <c r="C5" s="114">
        <f>Assumptions!E87</f>
        <v>2.8197584537054479E-2</v>
      </c>
      <c r="D5" s="114">
        <f>C5</f>
        <v>2.8197584537054479E-2</v>
      </c>
      <c r="E5" s="114">
        <f t="shared" ref="E5:G5" si="2">D5</f>
        <v>2.8197584537054479E-2</v>
      </c>
      <c r="F5" s="114">
        <f t="shared" si="2"/>
        <v>2.8197584537054479E-2</v>
      </c>
      <c r="G5" s="114">
        <f t="shared" si="2"/>
        <v>2.8197584537054479E-2</v>
      </c>
    </row>
    <row r="6" spans="1:7" x14ac:dyDescent="0.2">
      <c r="A6" s="79" t="s">
        <v>191</v>
      </c>
      <c r="B6" s="113"/>
      <c r="C6" s="114">
        <f>Assumptions!E65</f>
        <v>0.17325210368440427</v>
      </c>
      <c r="D6" s="114">
        <f>C6</f>
        <v>0.17325210368440427</v>
      </c>
      <c r="E6" s="114">
        <f t="shared" ref="E6:G6" si="3">D6</f>
        <v>0.17325210368440427</v>
      </c>
      <c r="F6" s="114">
        <f t="shared" si="3"/>
        <v>0.17325210368440427</v>
      </c>
      <c r="G6" s="114">
        <f t="shared" si="3"/>
        <v>0.17325210368440427</v>
      </c>
    </row>
    <row r="7" spans="1:7" x14ac:dyDescent="0.2">
      <c r="A7" s="79" t="s">
        <v>208</v>
      </c>
      <c r="B7" s="115"/>
      <c r="C7" s="114">
        <f>Assumptions!E51</f>
        <v>7.0328549925411793E-2</v>
      </c>
      <c r="D7" s="114">
        <f>C7</f>
        <v>7.0328549925411793E-2</v>
      </c>
      <c r="E7" s="114">
        <f t="shared" ref="E7:G8" si="4">D7</f>
        <v>7.0328549925411793E-2</v>
      </c>
      <c r="F7" s="114">
        <f t="shared" si="4"/>
        <v>7.0328549925411793E-2</v>
      </c>
      <c r="G7" s="114">
        <f t="shared" si="4"/>
        <v>7.0328549925411793E-2</v>
      </c>
    </row>
    <row r="8" spans="1:7" x14ac:dyDescent="0.2">
      <c r="A8" s="160" t="s">
        <v>192</v>
      </c>
      <c r="B8" s="123">
        <f>C8</f>
        <v>0.24</v>
      </c>
      <c r="C8" s="161">
        <f>Assumptions!E73</f>
        <v>0.24</v>
      </c>
      <c r="D8" s="161">
        <f>C8</f>
        <v>0.24</v>
      </c>
      <c r="E8" s="161">
        <f t="shared" si="4"/>
        <v>0.24</v>
      </c>
      <c r="F8" s="161">
        <f t="shared" si="4"/>
        <v>0.24</v>
      </c>
      <c r="G8" s="161">
        <f t="shared" si="4"/>
        <v>0.24</v>
      </c>
    </row>
    <row r="9" spans="1:7" x14ac:dyDescent="0.2">
      <c r="A9" s="80" t="s">
        <v>225</v>
      </c>
      <c r="B9" s="116"/>
      <c r="C9" s="117">
        <f>Assumptions!E79</f>
        <v>6.670351543767046E-2</v>
      </c>
      <c r="D9" s="117">
        <f>C9</f>
        <v>6.670351543767046E-2</v>
      </c>
      <c r="E9" s="117">
        <f t="shared" ref="E9:G9" si="5">D9</f>
        <v>6.670351543767046E-2</v>
      </c>
      <c r="F9" s="117">
        <f t="shared" si="5"/>
        <v>6.670351543767046E-2</v>
      </c>
      <c r="G9" s="117">
        <f t="shared" si="5"/>
        <v>6.670351543767046E-2</v>
      </c>
    </row>
    <row r="10" spans="1:7" x14ac:dyDescent="0.2">
      <c r="A10" s="80"/>
      <c r="B10" s="116"/>
      <c r="C10" s="117"/>
      <c r="D10" s="162"/>
      <c r="E10" s="162"/>
      <c r="F10" s="162"/>
      <c r="G10" s="162"/>
    </row>
    <row r="11" spans="1:7" x14ac:dyDescent="0.2">
      <c r="A11" s="79" t="s">
        <v>193</v>
      </c>
      <c r="B11" s="115"/>
      <c r="C11" s="114">
        <f>Assumptions!E23</f>
        <v>0.2054274072595311</v>
      </c>
      <c r="D11" s="114">
        <f>C11</f>
        <v>0.2054274072595311</v>
      </c>
      <c r="E11" s="114">
        <f t="shared" ref="E11:G11" si="6">D11</f>
        <v>0.2054274072595311</v>
      </c>
      <c r="F11" s="114">
        <f t="shared" si="6"/>
        <v>0.2054274072595311</v>
      </c>
      <c r="G11" s="114">
        <f t="shared" si="6"/>
        <v>0.2054274072595311</v>
      </c>
    </row>
    <row r="12" spans="1:7" x14ac:dyDescent="0.2">
      <c r="A12" s="79" t="s">
        <v>194</v>
      </c>
      <c r="B12" s="115"/>
      <c r="C12" s="114">
        <f>Assumptions!E29</f>
        <v>0.29869057666118687</v>
      </c>
      <c r="D12" s="114">
        <f t="shared" ref="D12:G16" si="7">C12</f>
        <v>0.29869057666118687</v>
      </c>
      <c r="E12" s="114">
        <f t="shared" si="7"/>
        <v>0.29869057666118687</v>
      </c>
      <c r="F12" s="114">
        <f t="shared" si="7"/>
        <v>0.29869057666118687</v>
      </c>
      <c r="G12" s="114">
        <f t="shared" si="7"/>
        <v>0.29869057666118687</v>
      </c>
    </row>
    <row r="13" spans="1:7" x14ac:dyDescent="0.2">
      <c r="A13" s="79" t="s">
        <v>195</v>
      </c>
      <c r="B13" s="115"/>
      <c r="C13" s="114">
        <f>Assumptions!E44</f>
        <v>0.41179638038173555</v>
      </c>
      <c r="D13" s="114">
        <f t="shared" si="7"/>
        <v>0.41179638038173555</v>
      </c>
      <c r="E13" s="114">
        <f t="shared" si="7"/>
        <v>0.41179638038173555</v>
      </c>
      <c r="F13" s="114">
        <f t="shared" si="7"/>
        <v>0.41179638038173555</v>
      </c>
      <c r="G13" s="114">
        <f t="shared" si="7"/>
        <v>0.41179638038173555</v>
      </c>
    </row>
    <row r="14" spans="1:7" x14ac:dyDescent="0.2">
      <c r="A14" s="79" t="s">
        <v>243</v>
      </c>
      <c r="B14" s="113"/>
      <c r="C14" s="115" t="s">
        <v>196</v>
      </c>
      <c r="D14" s="114" t="str">
        <f t="shared" si="7"/>
        <v>The same</v>
      </c>
      <c r="E14" s="114" t="str">
        <f t="shared" si="7"/>
        <v>The same</v>
      </c>
      <c r="F14" s="114" t="str">
        <f t="shared" si="7"/>
        <v>The same</v>
      </c>
      <c r="G14" s="114" t="str">
        <f t="shared" si="7"/>
        <v>The same</v>
      </c>
    </row>
    <row r="15" spans="1:7" x14ac:dyDescent="0.2">
      <c r="A15" s="79" t="s">
        <v>197</v>
      </c>
      <c r="B15" s="115"/>
      <c r="C15" s="115" t="s">
        <v>196</v>
      </c>
      <c r="D15" s="114" t="str">
        <f t="shared" si="7"/>
        <v>The same</v>
      </c>
      <c r="E15" s="114" t="str">
        <f t="shared" si="7"/>
        <v>The same</v>
      </c>
      <c r="F15" s="114" t="str">
        <f t="shared" si="7"/>
        <v>The same</v>
      </c>
      <c r="G15" s="114" t="str">
        <f t="shared" si="7"/>
        <v>The same</v>
      </c>
    </row>
    <row r="16" spans="1:7" x14ac:dyDescent="0.2">
      <c r="A16" s="80" t="s">
        <v>198</v>
      </c>
      <c r="B16" s="116"/>
      <c r="C16" s="116" t="s">
        <v>196</v>
      </c>
      <c r="D16" s="117" t="str">
        <f t="shared" si="7"/>
        <v>The same</v>
      </c>
      <c r="E16" s="117" t="str">
        <f t="shared" si="7"/>
        <v>The same</v>
      </c>
      <c r="F16" s="117" t="str">
        <f t="shared" si="7"/>
        <v>The same</v>
      </c>
      <c r="G16" s="117" t="str">
        <f t="shared" si="7"/>
        <v>The same</v>
      </c>
    </row>
    <row r="17" spans="1:7" x14ac:dyDescent="0.2">
      <c r="A17" s="79"/>
      <c r="B17" s="115"/>
      <c r="C17" s="115"/>
    </row>
    <row r="18" spans="1:7" x14ac:dyDescent="0.2">
      <c r="A18" s="78"/>
      <c r="B18" s="115"/>
      <c r="C18" s="115"/>
    </row>
    <row r="22" spans="1:7" x14ac:dyDescent="0.2">
      <c r="A22" s="154" t="s">
        <v>199</v>
      </c>
      <c r="B22" s="153"/>
      <c r="C22" s="153"/>
      <c r="D22" s="153"/>
      <c r="E22" s="153"/>
      <c r="F22" s="153"/>
      <c r="G22" s="153"/>
    </row>
    <row r="23" spans="1:7" x14ac:dyDescent="0.2">
      <c r="A23" s="120" t="s">
        <v>146</v>
      </c>
      <c r="B23" s="112">
        <v>0</v>
      </c>
      <c r="C23" s="112">
        <v>1</v>
      </c>
      <c r="D23" s="111">
        <v>2</v>
      </c>
      <c r="E23" s="111">
        <v>3</v>
      </c>
      <c r="F23" s="111">
        <v>4</v>
      </c>
      <c r="G23" s="111">
        <v>5</v>
      </c>
    </row>
    <row r="24" spans="1:7" x14ac:dyDescent="0.2">
      <c r="A24" s="113" t="s">
        <v>151</v>
      </c>
      <c r="B24" s="109">
        <f>Assumptions!B3</f>
        <v>94425</v>
      </c>
      <c r="C24" s="109">
        <f>B24*(1+C3)</f>
        <v>101625.98814253006</v>
      </c>
      <c r="D24" s="109">
        <f>C24*(1+D3)</f>
        <v>109376.13413762943</v>
      </c>
      <c r="E24" s="109">
        <f>D24*(1+E3)</f>
        <v>117717.31756363786</v>
      </c>
      <c r="F24" s="109">
        <f>E24*(1+F3)</f>
        <v>126694.61179658677</v>
      </c>
      <c r="G24" s="109">
        <f>F24*(1+G3)</f>
        <v>136356.52757386683</v>
      </c>
    </row>
    <row r="25" spans="1:7" x14ac:dyDescent="0.2">
      <c r="A25" s="113" t="s">
        <v>200</v>
      </c>
      <c r="B25" s="118">
        <f>Assumptions!B58</f>
        <v>-58766</v>
      </c>
      <c r="C25" s="118">
        <f>-C4*C24</f>
        <v>-65405.92937376917</v>
      </c>
      <c r="D25" s="118">
        <f t="shared" ref="D25:G25" si="8">-D4*D24</f>
        <v>-70393.880889487147</v>
      </c>
      <c r="E25" s="118">
        <f t="shared" si="8"/>
        <v>-75762.220858688845</v>
      </c>
      <c r="F25" s="118">
        <f t="shared" si="8"/>
        <v>-81539.958259325969</v>
      </c>
      <c r="G25" s="118">
        <f t="shared" si="8"/>
        <v>-87758.314336295007</v>
      </c>
    </row>
    <row r="26" spans="1:7" x14ac:dyDescent="0.2">
      <c r="A26" s="113" t="s">
        <v>201</v>
      </c>
      <c r="B26" s="110">
        <f>Assumptions!B64</f>
        <v>-16501</v>
      </c>
      <c r="C26" s="110">
        <f>-C24*C6</f>
        <v>-17606.916234699656</v>
      </c>
      <c r="D26" s="110">
        <f t="shared" ref="D26:G26" si="9">-D24*D6</f>
        <v>-18949.645332211883</v>
      </c>
      <c r="E26" s="110">
        <f t="shared" si="9"/>
        <v>-20394.772907985331</v>
      </c>
      <c r="F26" s="110">
        <f t="shared" si="9"/>
        <v>-21950.108019237599</v>
      </c>
      <c r="G26" s="110">
        <f t="shared" si="9"/>
        <v>-23624.055253272905</v>
      </c>
    </row>
    <row r="27" spans="1:7" x14ac:dyDescent="0.2">
      <c r="A27" s="113" t="s">
        <v>203</v>
      </c>
      <c r="B27" s="158">
        <f>-Assumptions!B50</f>
        <v>-5326</v>
      </c>
      <c r="C27" s="158">
        <f>-B40*C7</f>
        <v>-5769.824564430709</v>
      </c>
      <c r="D27" s="158">
        <f>-C40*D7</f>
        <v>-6246.568488995732</v>
      </c>
      <c r="E27" s="158">
        <f>-D40*E7</f>
        <v>-6759.6696001937007</v>
      </c>
      <c r="F27" s="158">
        <f>-E40*F7</f>
        <v>-7311.9005500748108</v>
      </c>
      <c r="G27" s="158">
        <f>-F40*G7</f>
        <v>-7906.245437176276</v>
      </c>
    </row>
    <row r="28" spans="1:7" x14ac:dyDescent="0.2">
      <c r="A28" s="113" t="s">
        <v>209</v>
      </c>
      <c r="B28" s="109">
        <f>SUM(B24:B27)</f>
        <v>13832</v>
      </c>
      <c r="C28" s="109">
        <f>SUM(C24:C27)</f>
        <v>12843.31796963052</v>
      </c>
      <c r="D28" s="109">
        <f t="shared" ref="D28:G28" si="10">SUM(D24:D27)</f>
        <v>13786.039426934667</v>
      </c>
      <c r="E28" s="109">
        <f t="shared" si="10"/>
        <v>14800.654196769981</v>
      </c>
      <c r="F28" s="109">
        <f t="shared" si="10"/>
        <v>15892.644967948396</v>
      </c>
      <c r="G28" s="109">
        <f t="shared" si="10"/>
        <v>17067.91254712264</v>
      </c>
    </row>
    <row r="29" spans="1:7" x14ac:dyDescent="0.2">
      <c r="A29" s="113" t="s">
        <v>202</v>
      </c>
      <c r="B29" s="159">
        <f>Assumptions!B84</f>
        <v>-1305</v>
      </c>
      <c r="C29" s="159">
        <f>-B51*C5</f>
        <v>-1185.0316877542516</v>
      </c>
      <c r="D29" s="159">
        <f>-C51*D5</f>
        <v>-1185.0316877542516</v>
      </c>
      <c r="E29" s="159">
        <f>-D51*E5</f>
        <v>-1185.0316877542516</v>
      </c>
      <c r="F29" s="159">
        <f>-E51*F5</f>
        <v>-1185.0316877542516</v>
      </c>
      <c r="G29" s="159">
        <f>-F51*G5</f>
        <v>-1185.0316877542516</v>
      </c>
    </row>
    <row r="30" spans="1:7" x14ac:dyDescent="0.2">
      <c r="A30" s="119" t="s">
        <v>204</v>
      </c>
      <c r="B30" s="122">
        <f>B29+B28</f>
        <v>12527</v>
      </c>
      <c r="C30" s="122">
        <f>C29+C28</f>
        <v>11658.286281876268</v>
      </c>
      <c r="D30" s="122">
        <f t="shared" ref="D30:G30" si="11">D29+D28</f>
        <v>12601.007739180415</v>
      </c>
      <c r="E30" s="122">
        <f t="shared" si="11"/>
        <v>13615.62250901573</v>
      </c>
      <c r="F30" s="122">
        <f t="shared" si="11"/>
        <v>14707.613280194144</v>
      </c>
      <c r="G30" s="122">
        <f t="shared" si="11"/>
        <v>15882.880859368388</v>
      </c>
    </row>
    <row r="31" spans="1:7" x14ac:dyDescent="0.2">
      <c r="A31" s="113" t="s">
        <v>228</v>
      </c>
      <c r="B31" s="121">
        <f>-B30*B8</f>
        <v>-3006.48</v>
      </c>
      <c r="C31" s="121">
        <f>-C30*C8</f>
        <v>-2797.9887076503041</v>
      </c>
      <c r="D31" s="121">
        <f t="shared" ref="D31:F31" si="12">-D30*D8</f>
        <v>-3024.2418574032995</v>
      </c>
      <c r="E31" s="121">
        <f t="shared" si="12"/>
        <v>-3267.7494021637749</v>
      </c>
      <c r="F31" s="121">
        <f t="shared" si="12"/>
        <v>-3529.8271872465943</v>
      </c>
      <c r="G31" s="121">
        <f>-G30*G8</f>
        <v>-3811.8914062484127</v>
      </c>
    </row>
    <row r="32" spans="1:7" x14ac:dyDescent="0.2">
      <c r="A32" s="119" t="s">
        <v>205</v>
      </c>
      <c r="B32" s="118">
        <f>B31+B30</f>
        <v>9520.52</v>
      </c>
      <c r="C32" s="118">
        <f>C30+C31</f>
        <v>8860.2975742259641</v>
      </c>
      <c r="D32" s="118">
        <f t="shared" ref="D32:G32" si="13">D30+D31</f>
        <v>9576.7658817771153</v>
      </c>
      <c r="E32" s="118">
        <f t="shared" si="13"/>
        <v>10347.873106851956</v>
      </c>
      <c r="F32" s="118">
        <f t="shared" si="13"/>
        <v>11177.78609294755</v>
      </c>
      <c r="G32" s="118">
        <f t="shared" si="13"/>
        <v>12070.989453119975</v>
      </c>
    </row>
    <row r="34" spans="1:9" x14ac:dyDescent="0.2">
      <c r="A34" s="155" t="s">
        <v>212</v>
      </c>
      <c r="B34" s="156"/>
      <c r="C34" s="156"/>
      <c r="D34" s="157"/>
      <c r="E34" s="157"/>
      <c r="F34" s="157"/>
      <c r="G34" s="157"/>
      <c r="H34"/>
    </row>
    <row r="35" spans="1:9" x14ac:dyDescent="0.2">
      <c r="A35" s="132" t="s">
        <v>218</v>
      </c>
      <c r="B35" s="129"/>
      <c r="C35" s="130"/>
      <c r="D35" s="130"/>
      <c r="E35" s="130"/>
      <c r="F35" s="130"/>
      <c r="G35" s="130"/>
      <c r="H35" s="58"/>
    </row>
    <row r="36" spans="1:9" x14ac:dyDescent="0.2">
      <c r="A36" s="82" t="s">
        <v>215</v>
      </c>
      <c r="B36" s="125">
        <f>Balancesheet!B3</f>
        <v>5695</v>
      </c>
      <c r="C36" s="45">
        <f>C57-C37-C42-C43-C44-C45-C46</f>
        <v>14560.045252162381</v>
      </c>
      <c r="D36" s="45">
        <f>D57-D37-D42-D43-D44-D45-D46</f>
        <v>21668.132244556036</v>
      </c>
      <c r="E36" s="45">
        <f>E57-E37-E42-E43-E44-E45-E46</f>
        <v>29359.061411347735</v>
      </c>
      <c r="F36" s="45">
        <f>F57-F37-F42-F43-F44-F45-F46</f>
        <v>37677.281146361114</v>
      </c>
      <c r="G36" s="45">
        <f>G57-G37-G42-G43-G44-G45-G46</f>
        <v>46670.629542724986</v>
      </c>
      <c r="H36"/>
      <c r="I36" s="173" t="s">
        <v>262</v>
      </c>
    </row>
    <row r="37" spans="1:9" x14ac:dyDescent="0.2">
      <c r="A37" s="81" t="s">
        <v>216</v>
      </c>
      <c r="B37" s="125">
        <f>Assumptions!B22</f>
        <v>18572</v>
      </c>
      <c r="C37" s="45">
        <f>C24*C11</f>
        <v>20876.7632543078</v>
      </c>
      <c r="D37" s="45">
        <f t="shared" ref="D37:G37" si="14">D24*D11</f>
        <v>22468.855651963902</v>
      </c>
      <c r="E37" s="45">
        <f t="shared" si="14"/>
        <v>24182.363336644987</v>
      </c>
      <c r="F37" s="45">
        <f t="shared" si="14"/>
        <v>26026.545615125626</v>
      </c>
      <c r="G37" s="45">
        <f t="shared" si="14"/>
        <v>28011.367922412224</v>
      </c>
      <c r="H37"/>
    </row>
    <row r="38" spans="1:9" x14ac:dyDescent="0.2">
      <c r="A38" s="81" t="s">
        <v>213</v>
      </c>
      <c r="B38" s="45"/>
      <c r="C38" s="45"/>
      <c r="D38" s="45"/>
      <c r="E38" s="45"/>
      <c r="F38" s="45"/>
      <c r="G38" s="45"/>
      <c r="H38"/>
    </row>
    <row r="39" spans="1:9" x14ac:dyDescent="0.2">
      <c r="A39" s="126" t="s">
        <v>229</v>
      </c>
      <c r="B39" s="45"/>
      <c r="C39" s="45">
        <f>C24*C9</f>
        <v>6778.8106689337683</v>
      </c>
      <c r="D39" s="45">
        <f t="shared" ref="D39:G39" si="15">D24*D9</f>
        <v>7295.7726519620801</v>
      </c>
      <c r="E39" s="45">
        <f t="shared" si="15"/>
        <v>7852.1589093872735</v>
      </c>
      <c r="F39" s="45">
        <f t="shared" si="15"/>
        <v>8450.9759938432926</v>
      </c>
      <c r="G39" s="45">
        <f t="shared" si="15"/>
        <v>9095.4597420505634</v>
      </c>
      <c r="H39"/>
    </row>
    <row r="40" spans="1:9" x14ac:dyDescent="0.2">
      <c r="A40" s="126" t="s">
        <v>226</v>
      </c>
      <c r="B40" s="45">
        <f>Assumptions!B49</f>
        <v>82041</v>
      </c>
      <c r="C40" s="45">
        <f>B40+C39</f>
        <v>88819.810668933773</v>
      </c>
      <c r="D40" s="45">
        <f t="shared" ref="D40:G40" si="16">C40+D39</f>
        <v>96115.58332089585</v>
      </c>
      <c r="E40" s="45">
        <f t="shared" si="16"/>
        <v>103967.74223028313</v>
      </c>
      <c r="F40" s="45">
        <f t="shared" si="16"/>
        <v>112418.71822412642</v>
      </c>
      <c r="G40" s="45">
        <f t="shared" si="16"/>
        <v>121514.17796617698</v>
      </c>
      <c r="H40"/>
    </row>
    <row r="41" spans="1:9" x14ac:dyDescent="0.2">
      <c r="A41" s="126" t="s">
        <v>59</v>
      </c>
      <c r="B41" s="125">
        <f>Assumptions!B39</f>
        <v>-48889</v>
      </c>
      <c r="C41" s="125">
        <f>B41+C27</f>
        <v>-54658.82456443071</v>
      </c>
      <c r="D41" s="125">
        <f>C41+D27</f>
        <v>-60905.393053426444</v>
      </c>
      <c r="E41" s="125">
        <f>D41+E27</f>
        <v>-67665.062653620145</v>
      </c>
      <c r="F41" s="125">
        <f>E41+F27</f>
        <v>-74976.963203694962</v>
      </c>
      <c r="G41" s="125">
        <f>F41+G27</f>
        <v>-82883.208640871235</v>
      </c>
      <c r="H41"/>
    </row>
    <row r="42" spans="1:9" x14ac:dyDescent="0.2">
      <c r="A42" s="131" t="s">
        <v>233</v>
      </c>
      <c r="B42" s="127">
        <f>Assumptions!B43</f>
        <v>41255</v>
      </c>
      <c r="C42" s="127">
        <f>C24*C13</f>
        <v>41849.214069811052</v>
      </c>
      <c r="D42" s="127">
        <f>D24*D13</f>
        <v>45040.696138022977</v>
      </c>
      <c r="E42" s="127">
        <f>E24*E13</f>
        <v>48475.565280953371</v>
      </c>
      <c r="F42" s="127">
        <f>F24*F13</f>
        <v>52172.382551703566</v>
      </c>
      <c r="G42" s="127">
        <f>G24*G13</f>
        <v>56151.124496340679</v>
      </c>
      <c r="H42"/>
      <c r="I42" t="s">
        <v>263</v>
      </c>
    </row>
    <row r="43" spans="1:9" x14ac:dyDescent="0.2">
      <c r="A43" s="134" t="s">
        <v>56</v>
      </c>
      <c r="B43" s="125">
        <f>Balancesheet!B9</f>
        <v>31327</v>
      </c>
      <c r="C43" s="125">
        <f>B43</f>
        <v>31327</v>
      </c>
      <c r="D43" s="125">
        <f t="shared" ref="D43:G43" si="17">C43</f>
        <v>31327</v>
      </c>
      <c r="E43" s="125">
        <f t="shared" si="17"/>
        <v>31327</v>
      </c>
      <c r="F43" s="125">
        <f t="shared" si="17"/>
        <v>31327</v>
      </c>
      <c r="G43" s="125">
        <f t="shared" si="17"/>
        <v>31327</v>
      </c>
      <c r="H43"/>
      <c r="I43" t="s">
        <v>264</v>
      </c>
    </row>
    <row r="44" spans="1:9" x14ac:dyDescent="0.2">
      <c r="A44" s="134" t="s">
        <v>57</v>
      </c>
      <c r="B44" s="125">
        <f>Balancesheet!B10</f>
        <v>8097</v>
      </c>
      <c r="C44" s="125">
        <f>B44</f>
        <v>8097</v>
      </c>
      <c r="D44" s="125">
        <f t="shared" ref="D44:G44" si="18">C44</f>
        <v>8097</v>
      </c>
      <c r="E44" s="125">
        <f t="shared" si="18"/>
        <v>8097</v>
      </c>
      <c r="F44" s="125">
        <f t="shared" si="18"/>
        <v>8097</v>
      </c>
      <c r="G44" s="125">
        <f t="shared" si="18"/>
        <v>8097</v>
      </c>
      <c r="H44"/>
    </row>
    <row r="45" spans="1:9" x14ac:dyDescent="0.2">
      <c r="A45" s="134" t="s">
        <v>231</v>
      </c>
      <c r="B45" s="125">
        <f>Balancesheet!B18+Balancesheet!B17</f>
        <v>82566</v>
      </c>
      <c r="C45" s="125">
        <f>B45</f>
        <v>82566</v>
      </c>
      <c r="D45" s="125">
        <f t="shared" ref="D45:G45" si="19">C45</f>
        <v>82566</v>
      </c>
      <c r="E45" s="125">
        <f t="shared" si="19"/>
        <v>82566</v>
      </c>
      <c r="F45" s="125">
        <f t="shared" si="19"/>
        <v>82566</v>
      </c>
      <c r="G45" s="125">
        <f t="shared" si="19"/>
        <v>82566</v>
      </c>
      <c r="H45"/>
    </row>
    <row r="46" spans="1:9" x14ac:dyDescent="0.2">
      <c r="A46" s="134" t="s">
        <v>220</v>
      </c>
      <c r="B46" s="127">
        <f>Balancesheet!B19</f>
        <v>10002</v>
      </c>
      <c r="C46" s="127">
        <f>B46</f>
        <v>10002</v>
      </c>
      <c r="D46" s="127">
        <f t="shared" ref="D46:G46" si="20">C46</f>
        <v>10002</v>
      </c>
      <c r="E46" s="127">
        <f t="shared" si="20"/>
        <v>10002</v>
      </c>
      <c r="F46" s="127">
        <f t="shared" si="20"/>
        <v>10002</v>
      </c>
      <c r="G46" s="127">
        <f t="shared" si="20"/>
        <v>10002</v>
      </c>
      <c r="H46"/>
    </row>
    <row r="47" spans="1:9" x14ac:dyDescent="0.2">
      <c r="A47" s="134" t="s">
        <v>67</v>
      </c>
      <c r="B47" s="125">
        <f>SUM(B36:B37,B42:B46)</f>
        <v>197514</v>
      </c>
      <c r="C47" s="125">
        <f>SUM(C36:C37,C42:C46)</f>
        <v>209278.02257628122</v>
      </c>
      <c r="D47" s="125">
        <f>SUM(D36:D37,D42:D46)</f>
        <v>221169.68403454291</v>
      </c>
      <c r="E47" s="125">
        <f>SUM(E36:E37,E42:E46)</f>
        <v>234008.99002894608</v>
      </c>
      <c r="F47" s="125">
        <f>SUM(F36:F37,F42:F46)</f>
        <v>247868.20931319031</v>
      </c>
      <c r="G47" s="125">
        <f>SUM(G36:G37,G42:G46)</f>
        <v>262825.12196147791</v>
      </c>
      <c r="H47"/>
    </row>
    <row r="48" spans="1:9" x14ac:dyDescent="0.2">
      <c r="B48" s="125"/>
      <c r="C48" s="125"/>
      <c r="D48" s="125"/>
      <c r="E48" s="125"/>
      <c r="F48" s="125"/>
      <c r="G48"/>
      <c r="H48"/>
    </row>
    <row r="49" spans="1:8" x14ac:dyDescent="0.2">
      <c r="A49" s="133" t="s">
        <v>219</v>
      </c>
      <c r="B49"/>
      <c r="C49"/>
      <c r="D49"/>
      <c r="E49"/>
      <c r="F49"/>
      <c r="G49"/>
      <c r="H49"/>
    </row>
    <row r="50" spans="1:8" x14ac:dyDescent="0.2">
      <c r="A50" s="67" t="s">
        <v>221</v>
      </c>
      <c r="B50" s="125">
        <f>Assumptions!B28</f>
        <v>27451</v>
      </c>
      <c r="C50" s="125">
        <f>C24*C12</f>
        <v>30354.725002055242</v>
      </c>
      <c r="D50" s="125">
        <f>D24*D12</f>
        <v>32669.62057853986</v>
      </c>
      <c r="E50" s="125">
        <f>E24*E12</f>
        <v>35161.053466091056</v>
      </c>
      <c r="F50" s="125">
        <f>F24*F12</f>
        <v>37842.486657387715</v>
      </c>
      <c r="G50" s="125">
        <f>G24*G12</f>
        <v>40728.409852555313</v>
      </c>
      <c r="H50"/>
    </row>
    <row r="51" spans="1:8" x14ac:dyDescent="0.2">
      <c r="A51" t="s">
        <v>197</v>
      </c>
      <c r="B51" s="125">
        <f>SUM(Assumptions!B85:B86)</f>
        <v>42026</v>
      </c>
      <c r="C51" s="125">
        <f>B51</f>
        <v>42026</v>
      </c>
      <c r="D51" s="125">
        <f t="shared" ref="D51:G51" si="21">C51</f>
        <v>42026</v>
      </c>
      <c r="E51" s="125">
        <f t="shared" si="21"/>
        <v>42026</v>
      </c>
      <c r="F51" s="125">
        <f t="shared" si="21"/>
        <v>42026</v>
      </c>
      <c r="G51" s="125">
        <f t="shared" si="21"/>
        <v>42026</v>
      </c>
      <c r="H51"/>
    </row>
    <row r="52" spans="1:8" x14ac:dyDescent="0.2">
      <c r="A52" t="s">
        <v>75</v>
      </c>
      <c r="B52" s="127">
        <f>Balancesheet!B27+Balancesheet!B28</f>
        <v>13425</v>
      </c>
      <c r="C52" s="127">
        <f>B52</f>
        <v>13425</v>
      </c>
      <c r="D52" s="127">
        <f t="shared" ref="D52:G52" si="22">C52</f>
        <v>13425</v>
      </c>
      <c r="E52" s="127">
        <f t="shared" si="22"/>
        <v>13425</v>
      </c>
      <c r="F52" s="127">
        <f t="shared" si="22"/>
        <v>13425</v>
      </c>
      <c r="G52" s="127">
        <f t="shared" si="22"/>
        <v>13425</v>
      </c>
      <c r="H52"/>
    </row>
    <row r="53" spans="1:8" x14ac:dyDescent="0.2">
      <c r="A53" t="s">
        <v>222</v>
      </c>
      <c r="B53" s="125">
        <f>SUM(B50:B52)</f>
        <v>82902</v>
      </c>
      <c r="C53" s="125">
        <f>SUM(C50:C52)</f>
        <v>85805.725002055246</v>
      </c>
      <c r="D53" s="125">
        <f t="shared" ref="D53:G53" si="23">SUM(D50:D52)</f>
        <v>88120.620578539863</v>
      </c>
      <c r="E53" s="125">
        <f t="shared" si="23"/>
        <v>90612.053466091049</v>
      </c>
      <c r="F53" s="125">
        <f t="shared" si="23"/>
        <v>93293.486657387723</v>
      </c>
      <c r="G53" s="125">
        <f t="shared" si="23"/>
        <v>96179.409852555313</v>
      </c>
      <c r="H53"/>
    </row>
    <row r="54" spans="1:8" x14ac:dyDescent="0.2">
      <c r="A54"/>
      <c r="B54" s="125"/>
      <c r="C54" s="125"/>
      <c r="D54" s="125"/>
      <c r="E54" s="125"/>
      <c r="F54"/>
      <c r="G54"/>
      <c r="H54"/>
    </row>
    <row r="55" spans="1:8" x14ac:dyDescent="0.2">
      <c r="A55" s="89" t="s">
        <v>223</v>
      </c>
      <c r="B55" s="125"/>
      <c r="C55" s="125"/>
      <c r="D55" s="125"/>
      <c r="E55" s="125"/>
      <c r="F55"/>
      <c r="G55"/>
      <c r="H55"/>
    </row>
    <row r="56" spans="1:8" x14ac:dyDescent="0.2">
      <c r="A56" t="s">
        <v>77</v>
      </c>
      <c r="B56" s="127">
        <f>Balancesheet!B39</f>
        <v>114612</v>
      </c>
      <c r="C56" s="127">
        <f>B56+C32</f>
        <v>123472.29757422596</v>
      </c>
      <c r="D56" s="127">
        <f>C56+D32</f>
        <v>133049.06345600309</v>
      </c>
      <c r="E56" s="127">
        <f>D56+E32</f>
        <v>143396.93656285503</v>
      </c>
      <c r="F56" s="127">
        <f>E56+F32</f>
        <v>154574.72265580259</v>
      </c>
      <c r="G56" s="127">
        <f>F56+G32</f>
        <v>166645.71210892257</v>
      </c>
      <c r="H56"/>
    </row>
    <row r="57" spans="1:8" x14ac:dyDescent="0.2">
      <c r="A57" t="s">
        <v>224</v>
      </c>
      <c r="B57" s="125">
        <f>B56+B53</f>
        <v>197514</v>
      </c>
      <c r="C57" s="125">
        <f t="shared" ref="C57:G57" si="24">C56+C53</f>
        <v>209278.02257628122</v>
      </c>
      <c r="D57" s="125">
        <f t="shared" si="24"/>
        <v>221169.68403454294</v>
      </c>
      <c r="E57" s="125">
        <f t="shared" si="24"/>
        <v>234008.99002894608</v>
      </c>
      <c r="F57" s="125">
        <f t="shared" si="24"/>
        <v>247868.20931319031</v>
      </c>
      <c r="G57" s="125">
        <f t="shared" si="24"/>
        <v>262825.12196147791</v>
      </c>
      <c r="H57"/>
    </row>
    <row r="58" spans="1:8" x14ac:dyDescent="0.2">
      <c r="A58"/>
      <c r="B58"/>
      <c r="C58"/>
      <c r="D58"/>
      <c r="E58"/>
      <c r="F58"/>
      <c r="G58"/>
      <c r="H58"/>
    </row>
    <row r="59" spans="1:8" x14ac:dyDescent="0.2">
      <c r="A59"/>
      <c r="B59"/>
      <c r="C59"/>
      <c r="D59"/>
      <c r="E59"/>
      <c r="F59"/>
      <c r="G59"/>
      <c r="H59"/>
    </row>
    <row r="61" spans="1:8" x14ac:dyDescent="0.2">
      <c r="A61" s="54" t="s">
        <v>234</v>
      </c>
      <c r="B61" s="137"/>
      <c r="C61" s="138"/>
      <c r="D61" s="139"/>
      <c r="E61" s="139"/>
      <c r="F61" s="139"/>
      <c r="G61" s="139"/>
    </row>
    <row r="62" spans="1:8" x14ac:dyDescent="0.2">
      <c r="A62" s="140" t="s">
        <v>235</v>
      </c>
      <c r="B62" s="141">
        <v>0</v>
      </c>
      <c r="C62" s="141">
        <v>1</v>
      </c>
      <c r="D62" s="142">
        <v>2</v>
      </c>
      <c r="E62" s="142">
        <v>3</v>
      </c>
      <c r="F62" s="141">
        <v>4</v>
      </c>
      <c r="G62" s="142">
        <v>5</v>
      </c>
    </row>
    <row r="63" spans="1:8" x14ac:dyDescent="0.2">
      <c r="A63" s="42" t="s">
        <v>236</v>
      </c>
      <c r="B63" s="42"/>
      <c r="C63" s="143"/>
      <c r="D63"/>
      <c r="E63"/>
      <c r="F63"/>
      <c r="G63"/>
    </row>
    <row r="64" spans="1:8" x14ac:dyDescent="0.2">
      <c r="A64" s="84" t="s">
        <v>237</v>
      </c>
      <c r="B64" s="63">
        <f>B28*(1-B8)</f>
        <v>10512.32</v>
      </c>
      <c r="C64" s="63">
        <f t="shared" ref="C64:G64" si="25">C28*(1-C8)</f>
        <v>9760.9216569191958</v>
      </c>
      <c r="D64" s="63">
        <f t="shared" si="25"/>
        <v>10477.389964470347</v>
      </c>
      <c r="E64" s="63">
        <f t="shared" si="25"/>
        <v>11248.497189545185</v>
      </c>
      <c r="F64" s="63">
        <f t="shared" si="25"/>
        <v>12078.410175640782</v>
      </c>
      <c r="G64" s="63">
        <f t="shared" si="25"/>
        <v>12971.613535813207</v>
      </c>
    </row>
    <row r="65" spans="1:7" x14ac:dyDescent="0.2">
      <c r="A65" s="84" t="s">
        <v>238</v>
      </c>
      <c r="B65" s="63">
        <f>-B27</f>
        <v>5326</v>
      </c>
      <c r="C65" s="63">
        <f t="shared" ref="C65:G65" si="26">-C27</f>
        <v>5769.824564430709</v>
      </c>
      <c r="D65" s="63">
        <f t="shared" si="26"/>
        <v>6246.568488995732</v>
      </c>
      <c r="E65" s="63">
        <f t="shared" si="26"/>
        <v>6759.6696001937007</v>
      </c>
      <c r="F65" s="63">
        <f t="shared" si="26"/>
        <v>7311.9005500748108</v>
      </c>
      <c r="G65" s="63">
        <f t="shared" si="26"/>
        <v>7906.245437176276</v>
      </c>
    </row>
    <row r="66" spans="1:7" x14ac:dyDescent="0.2">
      <c r="A66" s="84" t="s">
        <v>257</v>
      </c>
      <c r="B66" s="63">
        <f>Cashflow!B20</f>
        <v>-8024</v>
      </c>
      <c r="C66" s="63">
        <f>-C39</f>
        <v>-6778.8106689337683</v>
      </c>
      <c r="D66" s="63">
        <f t="shared" ref="D66:G66" si="27">-D39</f>
        <v>-7295.7726519620801</v>
      </c>
      <c r="E66" s="63">
        <f t="shared" si="27"/>
        <v>-7852.1589093872735</v>
      </c>
      <c r="F66" s="63">
        <f t="shared" si="27"/>
        <v>-8450.9759938432926</v>
      </c>
      <c r="G66" s="63">
        <f t="shared" si="27"/>
        <v>-9095.4597420505634</v>
      </c>
    </row>
    <row r="67" spans="1:7" x14ac:dyDescent="0.2">
      <c r="A67" s="85" t="s">
        <v>239</v>
      </c>
      <c r="B67" s="144">
        <v>0</v>
      </c>
      <c r="C67" s="145">
        <f>-(C71-B71)</f>
        <v>598.96174774744213</v>
      </c>
      <c r="D67" s="145">
        <f t="shared" ref="D67:G67" si="28">-(D71-C71)</f>
        <v>722.80317882851523</v>
      </c>
      <c r="E67" s="145">
        <f t="shared" si="28"/>
        <v>777.92520287011212</v>
      </c>
      <c r="F67" s="145">
        <f t="shared" si="28"/>
        <v>837.25091281601999</v>
      </c>
      <c r="G67" s="145">
        <f t="shared" si="28"/>
        <v>901.10088788099893</v>
      </c>
    </row>
    <row r="68" spans="1:7" x14ac:dyDescent="0.2">
      <c r="A68" s="146" t="s">
        <v>240</v>
      </c>
      <c r="B68" s="147">
        <f>SUM(B64:B67)</f>
        <v>7814.32</v>
      </c>
      <c r="C68" s="147">
        <f>SUM(C64:C67)</f>
        <v>9350.8973001635786</v>
      </c>
      <c r="D68" s="147">
        <f t="shared" ref="D68:G68" si="29">SUM(D64:D67)</f>
        <v>10150.988980332513</v>
      </c>
      <c r="E68" s="147">
        <f t="shared" si="29"/>
        <v>10933.933083221726</v>
      </c>
      <c r="F68" s="147">
        <f t="shared" si="29"/>
        <v>11776.585644688321</v>
      </c>
      <c r="G68" s="147">
        <f>SUM(G64:G67)</f>
        <v>12683.500118819917</v>
      </c>
    </row>
    <row r="69" spans="1:7" x14ac:dyDescent="0.2">
      <c r="A69" s="42"/>
      <c r="B69" s="42"/>
      <c r="C69" s="148">
        <f>C68/B68-1</f>
        <v>0.19663608607832539</v>
      </c>
      <c r="D69" s="148">
        <f t="shared" ref="D69:G69" si="30">D68/C68-1</f>
        <v>8.5563091378935141E-2</v>
      </c>
      <c r="E69" s="148">
        <f t="shared" si="30"/>
        <v>7.7129834778282502E-2</v>
      </c>
      <c r="F69" s="148">
        <f t="shared" si="30"/>
        <v>7.7067653062524943E-2</v>
      </c>
      <c r="G69" s="148">
        <f t="shared" si="30"/>
        <v>7.7009967192031459E-2</v>
      </c>
    </row>
    <row r="70" spans="1:7" x14ac:dyDescent="0.2">
      <c r="A70" s="59" t="s">
        <v>241</v>
      </c>
      <c r="B70" s="59"/>
      <c r="C70" s="149"/>
      <c r="D70" s="107"/>
      <c r="E70" s="107"/>
      <c r="F70" s="107"/>
      <c r="G70" s="107"/>
    </row>
    <row r="71" spans="1:7" x14ac:dyDescent="0.2">
      <c r="A71" s="40" t="s">
        <v>242</v>
      </c>
      <c r="B71" s="150">
        <f>B37-B50</f>
        <v>-8879</v>
      </c>
      <c r="C71" s="150">
        <f t="shared" ref="C71:G71" si="31">C37-C50</f>
        <v>-9477.9617477474421</v>
      </c>
      <c r="D71" s="150">
        <f t="shared" si="31"/>
        <v>-10200.764926575957</v>
      </c>
      <c r="E71" s="150">
        <f t="shared" si="31"/>
        <v>-10978.690129446069</v>
      </c>
      <c r="F71" s="150">
        <f t="shared" si="31"/>
        <v>-11815.941042262089</v>
      </c>
      <c r="G71" s="150">
        <f t="shared" si="31"/>
        <v>-12717.041930143088</v>
      </c>
    </row>
    <row r="74" spans="1:7" x14ac:dyDescent="0.2">
      <c r="A74" s="44" t="s">
        <v>244</v>
      </c>
      <c r="B74" s="163">
        <v>0.03</v>
      </c>
    </row>
    <row r="75" spans="1:7" x14ac:dyDescent="0.2">
      <c r="A75" s="70" t="s">
        <v>245</v>
      </c>
      <c r="B75" s="164">
        <f>'Cost of Capital'!B20</f>
        <v>8.8550366279342818E-2</v>
      </c>
    </row>
    <row r="76" spans="1:7" x14ac:dyDescent="0.2">
      <c r="A76" s="42"/>
      <c r="B76" s="42"/>
    </row>
    <row r="77" spans="1:7" x14ac:dyDescent="0.2">
      <c r="A77" s="165" t="s">
        <v>246</v>
      </c>
      <c r="B77" s="166">
        <f>(B78+B80)*(1+B75)^0.5</f>
        <v>196463.40252765949</v>
      </c>
    </row>
    <row r="78" spans="1:7" x14ac:dyDescent="0.2">
      <c r="A78" s="42" t="s">
        <v>247</v>
      </c>
      <c r="B78" s="167">
        <f>NPV(B75,C68:G68)</f>
        <v>42319.463422342524</v>
      </c>
    </row>
    <row r="79" spans="1:7" x14ac:dyDescent="0.2">
      <c r="A79" s="42"/>
      <c r="B79" s="42"/>
    </row>
    <row r="80" spans="1:7" x14ac:dyDescent="0.2">
      <c r="A80" s="42" t="s">
        <v>248</v>
      </c>
      <c r="B80" s="167">
        <f>B81/(1+B75)^5</f>
        <v>145983.6050782011</v>
      </c>
    </row>
    <row r="81" spans="1:2" x14ac:dyDescent="0.2">
      <c r="A81" s="59" t="s">
        <v>249</v>
      </c>
      <c r="B81" s="168">
        <f>G68*(1+B74)/(B75-B74)</f>
        <v>223124.22539009174</v>
      </c>
    </row>
    <row r="82" spans="1:2" x14ac:dyDescent="0.2">
      <c r="A82" s="42"/>
      <c r="B82" s="42"/>
    </row>
    <row r="83" spans="1:2" x14ac:dyDescent="0.2">
      <c r="A83" s="42" t="s">
        <v>250</v>
      </c>
      <c r="B83" s="45">
        <f>-B51</f>
        <v>-42026</v>
      </c>
    </row>
    <row r="84" spans="1:2" x14ac:dyDescent="0.2">
      <c r="A84" s="42" t="s">
        <v>251</v>
      </c>
      <c r="B84" s="45">
        <f>B44</f>
        <v>8097</v>
      </c>
    </row>
    <row r="85" spans="1:2" x14ac:dyDescent="0.2">
      <c r="A85" s="59" t="s">
        <v>252</v>
      </c>
      <c r="B85" s="49">
        <f>B36</f>
        <v>5695</v>
      </c>
    </row>
    <row r="86" spans="1:2" x14ac:dyDescent="0.2">
      <c r="A86" s="169" t="s">
        <v>253</v>
      </c>
      <c r="B86" s="170">
        <f>B77+B83+B84+B85</f>
        <v>168229.40252765949</v>
      </c>
    </row>
    <row r="87" spans="1:2" x14ac:dyDescent="0.2">
      <c r="A87" s="42"/>
      <c r="B87" s="42"/>
    </row>
    <row r="88" spans="1:2" x14ac:dyDescent="0.2">
      <c r="A88" s="42" t="s">
        <v>254</v>
      </c>
      <c r="B88" s="42">
        <v>1799</v>
      </c>
    </row>
    <row r="89" spans="1:2" x14ac:dyDescent="0.2">
      <c r="A89" s="171" t="s">
        <v>255</v>
      </c>
      <c r="B89" s="172">
        <f>B86/B88</f>
        <v>93.512730699088095</v>
      </c>
    </row>
  </sheetData>
  <pageMargins left="0.7" right="0.7" top="0.75" bottom="0.75" header="0.3" footer="0.3"/>
  <pageSetup paperSize="9" orientation="portrait" horizontalDpi="0" verticalDpi="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3455-6B54-5C48-95C2-8F0B539C0F03}">
  <dimension ref="A1:V34"/>
  <sheetViews>
    <sheetView zoomScale="130" zoomScaleNormal="130" workbookViewId="0">
      <selection activeCell="E30" sqref="E30"/>
    </sheetView>
    <sheetView workbookViewId="1"/>
  </sheetViews>
  <sheetFormatPr baseColWidth="10" defaultRowHeight="16" x14ac:dyDescent="0.2"/>
  <cols>
    <col min="1" max="1" width="69.1640625" bestFit="1" customWidth="1"/>
    <col min="2" max="2" width="11.6640625" bestFit="1" customWidth="1"/>
    <col min="3" max="4" width="10.83203125" customWidth="1"/>
    <col min="7" max="7" width="41" customWidth="1"/>
    <col min="8" max="8" width="11.6640625" bestFit="1" customWidth="1"/>
    <col min="9" max="9" width="8.5" bestFit="1" customWidth="1"/>
    <col min="10" max="10" width="8.33203125" bestFit="1" customWidth="1"/>
    <col min="11" max="11" width="5.6640625" bestFit="1" customWidth="1"/>
    <col min="13" max="13" width="35.6640625" customWidth="1"/>
    <col min="14" max="14" width="8.5" bestFit="1" customWidth="1"/>
    <col min="19" max="19" width="30.5" customWidth="1"/>
    <col min="20" max="21" width="8.33203125" bestFit="1" customWidth="1"/>
  </cols>
  <sheetData>
    <row r="1" spans="1:22" x14ac:dyDescent="0.2">
      <c r="A1" s="31" t="s">
        <v>175</v>
      </c>
      <c r="B1" s="31" t="s">
        <v>30</v>
      </c>
      <c r="C1" s="31" t="s">
        <v>31</v>
      </c>
      <c r="D1" s="31" t="s">
        <v>32</v>
      </c>
      <c r="G1" s="31" t="s">
        <v>27</v>
      </c>
      <c r="H1" s="36" t="s">
        <v>29</v>
      </c>
      <c r="M1" s="31" t="s">
        <v>27</v>
      </c>
      <c r="S1" s="31" t="s">
        <v>135</v>
      </c>
    </row>
    <row r="2" spans="1:22" x14ac:dyDescent="0.2">
      <c r="A2" t="s">
        <v>33</v>
      </c>
      <c r="B2" s="33">
        <v>94425</v>
      </c>
      <c r="C2" s="33">
        <v>91361</v>
      </c>
      <c r="D2" s="33">
        <v>88898</v>
      </c>
      <c r="G2" s="31" t="s">
        <v>28</v>
      </c>
      <c r="H2" s="36"/>
      <c r="M2" s="31" t="s">
        <v>28</v>
      </c>
      <c r="N2" s="37"/>
      <c r="S2" s="31" t="s">
        <v>28</v>
      </c>
    </row>
    <row r="3" spans="1:22" x14ac:dyDescent="0.2">
      <c r="A3" t="s">
        <v>19</v>
      </c>
      <c r="B3" s="91">
        <v>-16501</v>
      </c>
      <c r="C3" s="91">
        <v>-15759</v>
      </c>
      <c r="D3" s="91">
        <v>-15336</v>
      </c>
      <c r="H3" s="31" t="s">
        <v>31</v>
      </c>
      <c r="I3" s="31" t="s">
        <v>32</v>
      </c>
      <c r="J3" s="31" t="s">
        <v>117</v>
      </c>
      <c r="M3" s="37" t="s">
        <v>29</v>
      </c>
      <c r="N3" s="31" t="s">
        <v>32</v>
      </c>
      <c r="O3" s="31" t="s">
        <v>117</v>
      </c>
      <c r="P3" s="31" t="s">
        <v>131</v>
      </c>
      <c r="S3" s="37" t="s">
        <v>29</v>
      </c>
      <c r="T3" s="31" t="s">
        <v>117</v>
      </c>
      <c r="U3" s="31" t="s">
        <v>131</v>
      </c>
      <c r="V3" s="31" t="s">
        <v>136</v>
      </c>
    </row>
    <row r="4" spans="1:22" x14ac:dyDescent="0.2">
      <c r="A4" t="s">
        <v>20</v>
      </c>
      <c r="B4" s="91">
        <v>-5326</v>
      </c>
      <c r="C4" s="91">
        <v>-4990</v>
      </c>
      <c r="D4" s="91">
        <v>-5369</v>
      </c>
      <c r="G4" s="30" t="s">
        <v>33</v>
      </c>
      <c r="H4" s="33">
        <v>91361</v>
      </c>
      <c r="I4" s="33">
        <v>88898</v>
      </c>
      <c r="J4" s="33">
        <v>82722</v>
      </c>
      <c r="M4" s="30" t="s">
        <v>33</v>
      </c>
      <c r="N4" s="33">
        <v>88898</v>
      </c>
      <c r="O4" s="33">
        <v>82722</v>
      </c>
      <c r="P4" s="33">
        <v>67418</v>
      </c>
      <c r="S4" s="30" t="s">
        <v>33</v>
      </c>
      <c r="T4" s="33">
        <v>82722</v>
      </c>
      <c r="U4" s="33">
        <v>67418</v>
      </c>
      <c r="V4" s="33">
        <v>65388</v>
      </c>
    </row>
    <row r="5" spans="1:22" x14ac:dyDescent="0.2">
      <c r="A5" t="s">
        <v>21</v>
      </c>
      <c r="B5" s="92">
        <v>-80593</v>
      </c>
      <c r="C5" s="92">
        <v>-79447</v>
      </c>
      <c r="D5" s="92">
        <v>-79906</v>
      </c>
      <c r="G5" s="30" t="s">
        <v>19</v>
      </c>
      <c r="H5" s="34">
        <v>-15759</v>
      </c>
      <c r="I5" s="34">
        <v>-15336</v>
      </c>
      <c r="J5" s="34">
        <v>-16388</v>
      </c>
      <c r="M5" s="30" t="s">
        <v>19</v>
      </c>
      <c r="N5" s="34">
        <v>-15336</v>
      </c>
      <c r="O5" s="34">
        <v>-16388</v>
      </c>
      <c r="P5" s="34">
        <v>-13517</v>
      </c>
      <c r="S5" s="30" t="s">
        <v>19</v>
      </c>
      <c r="T5" s="34">
        <v>-16388</v>
      </c>
      <c r="U5" s="34">
        <v>-13517</v>
      </c>
      <c r="V5" s="34">
        <v>-12369</v>
      </c>
    </row>
    <row r="6" spans="1:22" x14ac:dyDescent="0.2">
      <c r="A6" t="s">
        <v>22</v>
      </c>
      <c r="B6" s="91">
        <v>-819</v>
      </c>
      <c r="C6" s="91">
        <v>-3595</v>
      </c>
      <c r="D6" s="91">
        <v>-3892</v>
      </c>
      <c r="G6" s="30" t="s">
        <v>20</v>
      </c>
      <c r="H6" s="34">
        <v>-4990</v>
      </c>
      <c r="I6" s="34">
        <v>-5369</v>
      </c>
      <c r="J6" s="34">
        <v>-5163</v>
      </c>
      <c r="M6" s="30" t="s">
        <v>20</v>
      </c>
      <c r="N6" s="34">
        <v>-5369</v>
      </c>
      <c r="O6" s="34">
        <v>-5163</v>
      </c>
      <c r="P6" s="34">
        <v>-5111</v>
      </c>
      <c r="S6" s="30" t="s">
        <v>20</v>
      </c>
      <c r="T6" s="34">
        <v>-5163</v>
      </c>
      <c r="U6" s="34">
        <v>-5111</v>
      </c>
      <c r="V6" s="34">
        <v>-5345</v>
      </c>
    </row>
    <row r="7" spans="1:22" x14ac:dyDescent="0.2">
      <c r="A7" t="s">
        <v>34</v>
      </c>
      <c r="B7" s="91">
        <v>0</v>
      </c>
      <c r="C7" s="91">
        <v>-65</v>
      </c>
      <c r="D7" s="91">
        <v>96</v>
      </c>
      <c r="G7" s="30" t="s">
        <v>21</v>
      </c>
      <c r="H7" s="34">
        <v>-79447</v>
      </c>
      <c r="I7" s="34">
        <v>-79906</v>
      </c>
      <c r="J7" s="34">
        <v>-75952</v>
      </c>
      <c r="M7" s="30" t="s">
        <v>21</v>
      </c>
      <c r="N7" s="34">
        <v>-79906</v>
      </c>
      <c r="O7" s="34">
        <v>-75952</v>
      </c>
      <c r="P7" s="34">
        <v>-63759</v>
      </c>
      <c r="S7" s="30" t="s">
        <v>21</v>
      </c>
      <c r="T7" s="34">
        <v>-75952</v>
      </c>
      <c r="U7" s="34">
        <v>-63759</v>
      </c>
      <c r="V7" s="34">
        <v>-61594</v>
      </c>
    </row>
    <row r="8" spans="1:22" x14ac:dyDescent="0.2">
      <c r="A8" t="s">
        <v>23</v>
      </c>
      <c r="B8" s="91">
        <v>-1305</v>
      </c>
      <c r="C8" s="91">
        <v>-1260</v>
      </c>
      <c r="D8" s="91">
        <v>-1209</v>
      </c>
      <c r="G8" s="30" t="s">
        <v>22</v>
      </c>
      <c r="H8" s="34">
        <v>-3595</v>
      </c>
      <c r="I8" s="34">
        <v>-3892</v>
      </c>
      <c r="J8" s="32">
        <v>-237</v>
      </c>
      <c r="M8" s="30" t="s">
        <v>22</v>
      </c>
      <c r="N8" s="34">
        <v>-3892</v>
      </c>
      <c r="O8" s="32">
        <v>-237</v>
      </c>
      <c r="P8" s="32">
        <v>-654</v>
      </c>
      <c r="S8" s="30" t="s">
        <v>22</v>
      </c>
      <c r="T8" s="32">
        <v>-237</v>
      </c>
      <c r="U8" s="32">
        <v>-654</v>
      </c>
      <c r="V8" s="34">
        <v>-5735</v>
      </c>
    </row>
    <row r="9" spans="1:22" x14ac:dyDescent="0.2">
      <c r="A9" t="s">
        <v>35</v>
      </c>
      <c r="B9" s="91">
        <v>295</v>
      </c>
      <c r="C9" s="91">
        <v>575</v>
      </c>
      <c r="D9" s="91">
        <v>782</v>
      </c>
      <c r="G9" s="30" t="s">
        <v>34</v>
      </c>
      <c r="H9" s="32">
        <v>-65</v>
      </c>
      <c r="I9" s="32">
        <v>96</v>
      </c>
      <c r="J9" s="32">
        <v>-667</v>
      </c>
      <c r="M9" s="30" t="s">
        <v>34</v>
      </c>
      <c r="N9" s="32">
        <v>96</v>
      </c>
      <c r="O9" s="32">
        <v>-667</v>
      </c>
      <c r="P9" s="32">
        <v>201</v>
      </c>
      <c r="S9" s="30" t="s">
        <v>34</v>
      </c>
      <c r="T9" s="32">
        <v>-667</v>
      </c>
      <c r="U9" s="32">
        <v>201</v>
      </c>
      <c r="V9" s="34">
        <v>1038</v>
      </c>
    </row>
    <row r="10" spans="1:22" x14ac:dyDescent="0.2">
      <c r="A10" t="s">
        <v>24</v>
      </c>
      <c r="B10" s="92">
        <v>12003</v>
      </c>
      <c r="C10" s="92">
        <v>7569</v>
      </c>
      <c r="D10" s="92">
        <v>4769</v>
      </c>
      <c r="G10" s="30" t="s">
        <v>23</v>
      </c>
      <c r="H10" s="34">
        <v>-1260</v>
      </c>
      <c r="I10" s="34">
        <v>-1209</v>
      </c>
      <c r="J10" s="34">
        <v>-1397</v>
      </c>
      <c r="M10" s="30" t="s">
        <v>23</v>
      </c>
      <c r="N10" s="34">
        <v>-1209</v>
      </c>
      <c r="O10" s="34">
        <v>-1397</v>
      </c>
      <c r="P10" s="34">
        <v>-1406</v>
      </c>
      <c r="S10" s="30" t="s">
        <v>23</v>
      </c>
      <c r="T10" s="34">
        <v>-1397</v>
      </c>
      <c r="U10" s="34">
        <v>-1406</v>
      </c>
      <c r="V10" s="34">
        <v>-1491</v>
      </c>
    </row>
    <row r="11" spans="1:22" x14ac:dyDescent="0.2">
      <c r="A11" t="s">
        <v>25</v>
      </c>
      <c r="B11" s="91">
        <v>1428</v>
      </c>
      <c r="C11" s="91">
        <v>-1796</v>
      </c>
      <c r="D11" s="91">
        <v>-1379</v>
      </c>
      <c r="G11" s="30" t="s">
        <v>35</v>
      </c>
      <c r="H11" s="32">
        <v>575</v>
      </c>
      <c r="I11" s="32">
        <v>782</v>
      </c>
      <c r="J11" s="32">
        <v>816</v>
      </c>
      <c r="M11" s="30" t="s">
        <v>35</v>
      </c>
      <c r="N11" s="32">
        <v>782</v>
      </c>
      <c r="O11" s="32">
        <v>816</v>
      </c>
      <c r="P11" s="32">
        <v>761</v>
      </c>
      <c r="S11" s="30" t="s">
        <v>35</v>
      </c>
      <c r="T11" s="32">
        <v>816</v>
      </c>
      <c r="U11" s="32">
        <v>761</v>
      </c>
      <c r="V11" s="32">
        <v>651</v>
      </c>
    </row>
    <row r="12" spans="1:22" x14ac:dyDescent="0.2">
      <c r="A12" t="s">
        <v>26</v>
      </c>
      <c r="B12" s="92">
        <v>13431</v>
      </c>
      <c r="C12" s="92">
        <v>5773</v>
      </c>
      <c r="D12" s="92">
        <v>3390</v>
      </c>
      <c r="G12" s="30" t="s">
        <v>118</v>
      </c>
      <c r="H12" s="34">
        <v>7569</v>
      </c>
      <c r="I12" s="34">
        <v>4769</v>
      </c>
      <c r="J12" s="34">
        <v>5285</v>
      </c>
      <c r="M12" s="30" t="s">
        <v>118</v>
      </c>
      <c r="N12" s="34">
        <v>4769</v>
      </c>
      <c r="O12" s="34">
        <v>5285</v>
      </c>
      <c r="P12" s="34">
        <v>2561</v>
      </c>
      <c r="S12" s="30" t="s">
        <v>137</v>
      </c>
      <c r="T12" s="34">
        <v>5285</v>
      </c>
      <c r="U12" s="34">
        <v>2561</v>
      </c>
      <c r="V12" s="34">
        <v>-1743</v>
      </c>
    </row>
    <row r="13" spans="1:22" x14ac:dyDescent="0.2">
      <c r="A13" t="s">
        <v>36</v>
      </c>
      <c r="B13" s="91">
        <v>-1027</v>
      </c>
      <c r="C13" s="91">
        <v>-801</v>
      </c>
      <c r="D13" s="91">
        <v>-1036</v>
      </c>
      <c r="G13" s="30" t="s">
        <v>119</v>
      </c>
      <c r="H13" s="34">
        <v>-1796</v>
      </c>
      <c r="I13" s="34">
        <v>-1379</v>
      </c>
      <c r="J13" s="34">
        <v>-1732</v>
      </c>
      <c r="M13" s="30" t="s">
        <v>119</v>
      </c>
      <c r="N13" s="34">
        <v>-1379</v>
      </c>
      <c r="O13" s="34">
        <v>-1732</v>
      </c>
      <c r="P13" s="32">
        <v>-25</v>
      </c>
      <c r="S13" s="30" t="s">
        <v>119</v>
      </c>
      <c r="T13" s="34">
        <v>-1732</v>
      </c>
      <c r="U13" s="32">
        <v>-25</v>
      </c>
      <c r="V13" s="32">
        <v>-699</v>
      </c>
    </row>
    <row r="14" spans="1:22" x14ac:dyDescent="0.2">
      <c r="A14" t="s">
        <v>37</v>
      </c>
      <c r="B14" s="95">
        <v>12404</v>
      </c>
      <c r="C14" s="95">
        <v>4972</v>
      </c>
      <c r="D14" s="95">
        <v>2354</v>
      </c>
      <c r="G14" s="30" t="s">
        <v>120</v>
      </c>
      <c r="H14" s="34">
        <v>5773</v>
      </c>
      <c r="I14" s="34">
        <v>3390</v>
      </c>
      <c r="J14" s="34">
        <v>3553</v>
      </c>
      <c r="M14" s="30" t="s">
        <v>120</v>
      </c>
      <c r="N14" s="34">
        <v>3390</v>
      </c>
      <c r="O14" s="34">
        <v>3553</v>
      </c>
      <c r="P14" s="34">
        <v>2536</v>
      </c>
      <c r="S14" s="30" t="s">
        <v>138</v>
      </c>
      <c r="T14" s="34">
        <v>3553</v>
      </c>
      <c r="U14" s="34">
        <v>2536</v>
      </c>
      <c r="V14" s="34">
        <v>-2442</v>
      </c>
    </row>
    <row r="15" spans="1:22" x14ac:dyDescent="0.2">
      <c r="A15" t="s">
        <v>38</v>
      </c>
      <c r="B15" s="91"/>
      <c r="C15" s="91"/>
      <c r="D15" s="91"/>
      <c r="G15" s="30" t="s">
        <v>121</v>
      </c>
      <c r="H15" s="32">
        <v>0</v>
      </c>
      <c r="I15" s="32">
        <v>0</v>
      </c>
      <c r="J15" s="32">
        <v>-48</v>
      </c>
      <c r="M15" s="30" t="s">
        <v>132</v>
      </c>
      <c r="N15" s="32">
        <v>0</v>
      </c>
      <c r="O15" s="32">
        <v>-48</v>
      </c>
      <c r="P15" s="32">
        <v>-29</v>
      </c>
      <c r="S15" s="30" t="s">
        <v>139</v>
      </c>
      <c r="T15" s="32">
        <v>-48</v>
      </c>
      <c r="U15" s="32">
        <v>-29</v>
      </c>
      <c r="V15" s="32">
        <v>-32</v>
      </c>
    </row>
    <row r="16" spans="1:22" x14ac:dyDescent="0.2">
      <c r="A16" s="88" t="s">
        <v>39</v>
      </c>
      <c r="B16" s="90">
        <v>6.85</v>
      </c>
      <c r="C16" s="90">
        <v>2.72</v>
      </c>
      <c r="D16" s="90">
        <v>1.29</v>
      </c>
      <c r="G16" s="30" t="s">
        <v>26</v>
      </c>
      <c r="H16" s="34">
        <v>5773</v>
      </c>
      <c r="I16" s="34">
        <v>3390</v>
      </c>
      <c r="J16" s="34">
        <v>3505</v>
      </c>
      <c r="M16" s="30" t="s">
        <v>26</v>
      </c>
      <c r="N16" s="34">
        <v>3390</v>
      </c>
      <c r="O16" s="34">
        <v>3505</v>
      </c>
      <c r="P16" s="34">
        <v>2507</v>
      </c>
      <c r="S16" s="30" t="s">
        <v>140</v>
      </c>
      <c r="T16" s="34">
        <v>3505</v>
      </c>
      <c r="U16" s="34">
        <v>2507</v>
      </c>
      <c r="V16" s="34">
        <v>-2474</v>
      </c>
    </row>
    <row r="17" spans="1:22" x14ac:dyDescent="0.2">
      <c r="A17" s="88" t="s">
        <v>40</v>
      </c>
      <c r="B17" s="90">
        <v>6.88</v>
      </c>
      <c r="C17" s="90">
        <v>2.72</v>
      </c>
      <c r="D17" s="90">
        <v>1.29</v>
      </c>
      <c r="G17" s="30" t="s">
        <v>122</v>
      </c>
      <c r="H17" s="32">
        <v>-801</v>
      </c>
      <c r="I17" s="34">
        <v>-1036</v>
      </c>
      <c r="J17" s="32">
        <v>-360</v>
      </c>
      <c r="M17" s="30" t="s">
        <v>122</v>
      </c>
      <c r="N17" s="34">
        <v>-1036</v>
      </c>
      <c r="O17" s="32">
        <v>-360</v>
      </c>
      <c r="P17" s="32">
        <v>-512</v>
      </c>
      <c r="S17" s="30" t="s">
        <v>122</v>
      </c>
      <c r="T17" s="32">
        <v>-360</v>
      </c>
      <c r="U17" s="32">
        <v>-512</v>
      </c>
      <c r="V17" s="32">
        <v>-390</v>
      </c>
    </row>
    <row r="18" spans="1:22" x14ac:dyDescent="0.2">
      <c r="A18" t="s">
        <v>41</v>
      </c>
      <c r="B18" s="91"/>
      <c r="C18" s="91"/>
      <c r="D18" s="91"/>
      <c r="G18" s="30" t="s">
        <v>37</v>
      </c>
      <c r="H18" s="33">
        <v>4972</v>
      </c>
      <c r="I18" s="33">
        <v>2354</v>
      </c>
      <c r="J18" s="33">
        <v>3145</v>
      </c>
      <c r="M18" s="30" t="s">
        <v>37</v>
      </c>
      <c r="N18" s="33">
        <v>2354</v>
      </c>
      <c r="O18" s="33">
        <v>3145</v>
      </c>
      <c r="P18" s="33">
        <v>1995</v>
      </c>
      <c r="S18" s="30" t="s">
        <v>141</v>
      </c>
      <c r="T18" s="33">
        <v>3145</v>
      </c>
      <c r="U18" s="33">
        <v>1995</v>
      </c>
      <c r="V18" s="33">
        <v>-2864</v>
      </c>
    </row>
    <row r="19" spans="1:22" x14ac:dyDescent="0.2">
      <c r="A19" s="88" t="s">
        <v>42</v>
      </c>
      <c r="B19" s="91">
        <v>1811</v>
      </c>
      <c r="C19" s="91">
        <v>1831</v>
      </c>
      <c r="D19" s="91">
        <v>1830</v>
      </c>
      <c r="G19" s="30" t="s">
        <v>38</v>
      </c>
      <c r="H19" s="32"/>
      <c r="I19" s="32"/>
      <c r="J19" s="32"/>
      <c r="M19" s="30" t="s">
        <v>38</v>
      </c>
      <c r="N19" s="32"/>
      <c r="O19" s="32"/>
      <c r="P19" s="32"/>
      <c r="S19" s="30" t="s">
        <v>38</v>
      </c>
      <c r="T19" s="32"/>
      <c r="U19" s="32"/>
      <c r="V19" s="32"/>
    </row>
    <row r="20" spans="1:22" x14ac:dyDescent="0.2">
      <c r="A20" s="88" t="s">
        <v>43</v>
      </c>
      <c r="B20" s="91">
        <v>1804</v>
      </c>
      <c r="C20" s="91">
        <v>1825</v>
      </c>
      <c r="D20" s="91">
        <v>1828</v>
      </c>
      <c r="G20" s="30" t="s">
        <v>123</v>
      </c>
      <c r="H20" s="35">
        <v>2.72</v>
      </c>
      <c r="I20" s="35">
        <v>1.29</v>
      </c>
      <c r="J20" s="35">
        <v>1.75</v>
      </c>
      <c r="M20" s="30" t="s">
        <v>123</v>
      </c>
      <c r="N20" s="35">
        <v>1.29</v>
      </c>
      <c r="O20" s="35">
        <v>1.75</v>
      </c>
      <c r="P20" s="35">
        <v>1.1100000000000001</v>
      </c>
      <c r="S20" s="30" t="s">
        <v>123</v>
      </c>
      <c r="T20" s="35">
        <v>1.75</v>
      </c>
      <c r="U20" s="35">
        <v>1.1100000000000001</v>
      </c>
      <c r="V20" s="35">
        <v>-1.57</v>
      </c>
    </row>
    <row r="21" spans="1:22" x14ac:dyDescent="0.2">
      <c r="A21" t="s">
        <v>44</v>
      </c>
      <c r="B21" s="94"/>
      <c r="C21" s="94"/>
      <c r="D21" s="94"/>
      <c r="G21" s="30" t="s">
        <v>124</v>
      </c>
      <c r="H21" s="32">
        <v>0</v>
      </c>
      <c r="I21" s="32">
        <v>0</v>
      </c>
      <c r="J21" s="32">
        <v>-0.03</v>
      </c>
      <c r="M21" s="30" t="s">
        <v>124</v>
      </c>
      <c r="N21" s="32">
        <v>0</v>
      </c>
      <c r="O21" s="32">
        <v>-0.03</v>
      </c>
      <c r="P21" s="32">
        <v>-0.02</v>
      </c>
      <c r="S21" s="30" t="s">
        <v>124</v>
      </c>
      <c r="T21" s="32">
        <v>-0.03</v>
      </c>
      <c r="U21" s="32">
        <v>-0.02</v>
      </c>
      <c r="V21" s="32">
        <v>-0.02</v>
      </c>
    </row>
    <row r="22" spans="1:22" x14ac:dyDescent="0.2">
      <c r="A22" s="88" t="s">
        <v>33</v>
      </c>
      <c r="B22" s="95">
        <v>84588</v>
      </c>
      <c r="C22" s="95">
        <v>81841</v>
      </c>
      <c r="D22" s="95">
        <v>79562</v>
      </c>
      <c r="G22" s="30" t="s">
        <v>39</v>
      </c>
      <c r="H22" s="32">
        <v>2.72</v>
      </c>
      <c r="I22" s="32">
        <v>1.29</v>
      </c>
      <c r="J22" s="32">
        <v>1.72</v>
      </c>
      <c r="M22" s="30" t="s">
        <v>39</v>
      </c>
      <c r="N22" s="32">
        <v>1.29</v>
      </c>
      <c r="O22" s="32">
        <v>1.72</v>
      </c>
      <c r="P22" s="32">
        <v>1.0900000000000001</v>
      </c>
      <c r="S22" s="30" t="s">
        <v>39</v>
      </c>
      <c r="T22" s="32">
        <v>1.72</v>
      </c>
      <c r="U22" s="32">
        <v>1.0900000000000001</v>
      </c>
      <c r="V22" s="32">
        <v>-1.58</v>
      </c>
    </row>
    <row r="23" spans="1:22" x14ac:dyDescent="0.2">
      <c r="A23" s="88" t="s">
        <v>45</v>
      </c>
      <c r="B23" s="91">
        <v>-52677</v>
      </c>
      <c r="C23" s="91">
        <v>-52509</v>
      </c>
      <c r="D23" s="91">
        <v>-53139</v>
      </c>
      <c r="G23" s="30" t="s">
        <v>125</v>
      </c>
      <c r="H23" s="32">
        <v>2.72</v>
      </c>
      <c r="I23" s="32">
        <v>1.29</v>
      </c>
      <c r="J23" s="32">
        <v>1.75</v>
      </c>
      <c r="M23" s="30" t="s">
        <v>125</v>
      </c>
      <c r="N23" s="32">
        <v>1.29</v>
      </c>
      <c r="O23" s="32">
        <v>1.75</v>
      </c>
      <c r="P23" s="32">
        <v>1.1100000000000001</v>
      </c>
      <c r="S23" s="30" t="s">
        <v>125</v>
      </c>
      <c r="T23" s="32">
        <v>1.75</v>
      </c>
      <c r="U23" s="32">
        <v>1.1100000000000001</v>
      </c>
      <c r="V23" s="32">
        <v>-1.57</v>
      </c>
    </row>
    <row r="24" spans="1:22" x14ac:dyDescent="0.2">
      <c r="A24" t="s">
        <v>46</v>
      </c>
      <c r="B24" s="94"/>
      <c r="C24" s="94"/>
      <c r="D24" s="94"/>
      <c r="G24" s="30" t="s">
        <v>126</v>
      </c>
      <c r="H24" s="32">
        <v>0</v>
      </c>
      <c r="I24" s="32">
        <v>0</v>
      </c>
      <c r="J24" s="32">
        <v>-0.03</v>
      </c>
      <c r="M24" s="30" t="s">
        <v>126</v>
      </c>
      <c r="N24" s="32">
        <v>0</v>
      </c>
      <c r="O24" s="32">
        <v>-0.03</v>
      </c>
      <c r="P24" s="32">
        <v>-0.02</v>
      </c>
      <c r="S24" s="30" t="s">
        <v>126</v>
      </c>
      <c r="T24" s="32">
        <v>-0.03</v>
      </c>
      <c r="U24" s="32">
        <v>-0.02</v>
      </c>
      <c r="V24" s="32">
        <v>-0.02</v>
      </c>
    </row>
    <row r="25" spans="1:22" x14ac:dyDescent="0.2">
      <c r="A25" s="88" t="s">
        <v>33</v>
      </c>
      <c r="B25" s="91">
        <v>9837</v>
      </c>
      <c r="C25" s="91">
        <v>9520</v>
      </c>
      <c r="D25" s="91">
        <v>9336</v>
      </c>
      <c r="G25" s="30" t="s">
        <v>40</v>
      </c>
      <c r="H25" s="35">
        <v>2.72</v>
      </c>
      <c r="I25" s="35">
        <v>1.29</v>
      </c>
      <c r="J25" s="35">
        <v>1.73</v>
      </c>
      <c r="M25" s="30" t="s">
        <v>40</v>
      </c>
      <c r="N25" s="35">
        <v>1.29</v>
      </c>
      <c r="O25" s="35">
        <v>1.73</v>
      </c>
      <c r="P25" s="35">
        <v>1.1000000000000001</v>
      </c>
      <c r="S25" s="30" t="s">
        <v>40</v>
      </c>
      <c r="T25" s="35">
        <v>1.73</v>
      </c>
      <c r="U25" s="35">
        <v>1.1000000000000001</v>
      </c>
      <c r="V25" s="35">
        <v>-1.58</v>
      </c>
    </row>
    <row r="26" spans="1:22" x14ac:dyDescent="0.2">
      <c r="A26" s="88" t="s">
        <v>45</v>
      </c>
      <c r="B26" s="33">
        <v>-6089</v>
      </c>
      <c r="C26" s="33">
        <v>-6189</v>
      </c>
      <c r="D26" s="33">
        <v>-6062</v>
      </c>
      <c r="G26" s="30" t="s">
        <v>41</v>
      </c>
      <c r="H26" s="32"/>
      <c r="I26" s="32"/>
      <c r="J26" s="32"/>
      <c r="M26" s="30" t="s">
        <v>41</v>
      </c>
      <c r="N26" s="32"/>
      <c r="O26" s="32"/>
      <c r="P26" s="32"/>
      <c r="S26" s="30" t="s">
        <v>41</v>
      </c>
      <c r="T26" s="32"/>
      <c r="U26" s="32"/>
      <c r="V26" s="32"/>
    </row>
    <row r="27" spans="1:22" x14ac:dyDescent="0.2">
      <c r="G27" s="30" t="s">
        <v>42</v>
      </c>
      <c r="H27" s="34">
        <v>1831</v>
      </c>
      <c r="I27" s="34">
        <v>1830</v>
      </c>
      <c r="J27" s="34">
        <v>1827</v>
      </c>
      <c r="M27" s="30" t="s">
        <v>42</v>
      </c>
      <c r="N27" s="34">
        <v>1830</v>
      </c>
      <c r="O27" s="34">
        <v>1827</v>
      </c>
      <c r="P27" s="34">
        <v>1828</v>
      </c>
      <c r="S27" s="30" t="s">
        <v>42</v>
      </c>
      <c r="T27" s="34">
        <v>1827</v>
      </c>
      <c r="U27" s="34">
        <v>1828</v>
      </c>
      <c r="V27" s="34">
        <v>1808</v>
      </c>
    </row>
    <row r="28" spans="1:22" x14ac:dyDescent="0.2">
      <c r="G28" s="30" t="s">
        <v>43</v>
      </c>
      <c r="H28" s="34">
        <v>1825</v>
      </c>
      <c r="I28" s="34">
        <v>1828</v>
      </c>
      <c r="J28" s="34">
        <v>1822</v>
      </c>
      <c r="M28" s="30" t="s">
        <v>43</v>
      </c>
      <c r="N28" s="34">
        <v>1828</v>
      </c>
      <c r="O28" s="34">
        <v>1822</v>
      </c>
      <c r="P28" s="34">
        <v>1816</v>
      </c>
      <c r="S28" s="30" t="s">
        <v>43</v>
      </c>
      <c r="T28" s="34">
        <v>1822</v>
      </c>
      <c r="U28" s="34">
        <v>1816</v>
      </c>
      <c r="V28" s="34">
        <v>1808</v>
      </c>
    </row>
    <row r="29" spans="1:22" x14ac:dyDescent="0.2">
      <c r="G29" s="30" t="s">
        <v>44</v>
      </c>
      <c r="H29" s="31"/>
      <c r="I29" s="31"/>
      <c r="J29" s="31"/>
      <c r="M29" s="30" t="s">
        <v>44</v>
      </c>
      <c r="N29" s="31"/>
      <c r="O29" s="31"/>
      <c r="P29" s="31"/>
      <c r="S29" s="30" t="s">
        <v>44</v>
      </c>
      <c r="T29" s="31"/>
      <c r="U29" s="31"/>
      <c r="V29" s="31"/>
    </row>
    <row r="30" spans="1:22" x14ac:dyDescent="0.2">
      <c r="G30" s="30" t="s">
        <v>33</v>
      </c>
      <c r="H30" s="33">
        <v>81841</v>
      </c>
      <c r="I30" s="33">
        <v>79562</v>
      </c>
      <c r="J30" s="33">
        <v>74200</v>
      </c>
      <c r="M30" s="30" t="s">
        <v>33</v>
      </c>
      <c r="N30" s="33">
        <v>79562</v>
      </c>
      <c r="O30" s="33">
        <v>74200</v>
      </c>
      <c r="P30" s="33">
        <v>61768</v>
      </c>
      <c r="S30" s="30" t="s">
        <v>33</v>
      </c>
      <c r="T30" s="33">
        <v>74200</v>
      </c>
      <c r="U30" s="33">
        <v>61768</v>
      </c>
      <c r="V30" s="33">
        <v>59265</v>
      </c>
    </row>
    <row r="31" spans="1:22" x14ac:dyDescent="0.2">
      <c r="G31" s="30" t="s">
        <v>127</v>
      </c>
      <c r="H31" s="34">
        <v>-52509</v>
      </c>
      <c r="I31" s="34">
        <v>-53139</v>
      </c>
      <c r="J31" s="34">
        <v>-48962</v>
      </c>
      <c r="M31" s="30" t="s">
        <v>127</v>
      </c>
      <c r="N31" s="34">
        <v>-53139</v>
      </c>
      <c r="O31" s="34">
        <v>-48962</v>
      </c>
      <c r="P31" s="34">
        <v>-41129</v>
      </c>
      <c r="S31" s="30" t="s">
        <v>127</v>
      </c>
      <c r="T31" s="34">
        <v>-48962</v>
      </c>
      <c r="U31" s="34">
        <v>-41129</v>
      </c>
      <c r="V31" s="34">
        <v>-39406</v>
      </c>
    </row>
    <row r="32" spans="1:22" x14ac:dyDescent="0.2">
      <c r="G32" s="30" t="s">
        <v>46</v>
      </c>
      <c r="H32" s="31"/>
      <c r="I32" s="31"/>
      <c r="J32" s="31"/>
      <c r="M32" s="30" t="s">
        <v>46</v>
      </c>
      <c r="N32" s="31"/>
      <c r="O32" s="31"/>
      <c r="P32" s="31"/>
      <c r="S32" s="30" t="s">
        <v>46</v>
      </c>
      <c r="T32" s="31"/>
      <c r="U32" s="31"/>
      <c r="V32" s="31"/>
    </row>
    <row r="33" spans="7:22" x14ac:dyDescent="0.2">
      <c r="G33" s="30" t="s">
        <v>33</v>
      </c>
      <c r="H33" s="34">
        <v>9520</v>
      </c>
      <c r="I33" s="34">
        <v>9336</v>
      </c>
      <c r="J33" s="34">
        <v>8522</v>
      </c>
      <c r="M33" s="30" t="s">
        <v>33</v>
      </c>
      <c r="N33" s="34">
        <v>9336</v>
      </c>
      <c r="O33" s="34">
        <v>8522</v>
      </c>
      <c r="P33" s="34">
        <v>5650</v>
      </c>
      <c r="S33" s="30" t="s">
        <v>33</v>
      </c>
      <c r="T33" s="34">
        <v>8522</v>
      </c>
      <c r="U33" s="34">
        <v>5650</v>
      </c>
      <c r="V33" s="34">
        <v>6123</v>
      </c>
    </row>
    <row r="34" spans="7:22" x14ac:dyDescent="0.2">
      <c r="G34" s="30" t="s">
        <v>127</v>
      </c>
      <c r="H34" s="33">
        <v>-6189</v>
      </c>
      <c r="I34" s="33">
        <v>-6062</v>
      </c>
      <c r="J34" s="33">
        <v>-5439</v>
      </c>
      <c r="M34" s="30" t="s">
        <v>127</v>
      </c>
      <c r="N34" s="33">
        <v>-6062</v>
      </c>
      <c r="O34" s="33">
        <v>-5439</v>
      </c>
      <c r="P34" s="33">
        <v>-4002</v>
      </c>
      <c r="S34" s="30" t="s">
        <v>127</v>
      </c>
      <c r="T34" s="33">
        <v>-5439</v>
      </c>
      <c r="U34" s="33">
        <v>-4002</v>
      </c>
      <c r="V34" s="33">
        <v>-4474</v>
      </c>
    </row>
  </sheetData>
  <mergeCells count="1">
    <mergeCell ref="H1:H2"/>
  </mergeCells>
  <hyperlinks>
    <hyperlink ref="G4" r:id="rId1" display="javascript:void(0);" xr:uid="{5A8F9BB1-896F-404F-94AF-F034821EC1A2}"/>
    <hyperlink ref="G5" r:id="rId2" display="javascript:void(0);" xr:uid="{A44B3F18-3C31-D34A-A397-A3F6445074BB}"/>
    <hyperlink ref="G6" r:id="rId3" display="javascript:void(0);" xr:uid="{F3E37D10-EE64-BB4E-BC3E-B3C96CAC507C}"/>
    <hyperlink ref="G7" r:id="rId4" display="javascript:void(0);" xr:uid="{28DB7F49-B7C1-924C-814B-F45C7C34C00E}"/>
    <hyperlink ref="G8" r:id="rId5" display="javascript:void(0);" xr:uid="{F39D9C0F-B2D5-E740-9CAE-0055FD45695B}"/>
    <hyperlink ref="G9" r:id="rId6" display="javascript:void(0);" xr:uid="{6B87BD38-532F-B64D-BC3A-082C14F8F42A}"/>
    <hyperlink ref="G10" r:id="rId7" display="javascript:void(0);" xr:uid="{CBD807A5-AB06-864E-AD3D-0548EBA77C2E}"/>
    <hyperlink ref="G11" r:id="rId8" display="javascript:void(0);" xr:uid="{CC76D832-13DC-DB4B-91D8-B26C2C71CBF3}"/>
    <hyperlink ref="G12" r:id="rId9" display="javascript:void(0);" xr:uid="{A9F023FA-25B4-EE4E-9009-AC19058695AF}"/>
    <hyperlink ref="G13" r:id="rId10" display="javascript:void(0);" xr:uid="{C044435D-A249-5440-943D-4AE497AEAFB1}"/>
    <hyperlink ref="G14" r:id="rId11" display="javascript:void(0);" xr:uid="{CDA33218-C918-FC4D-B620-52BF686A9F28}"/>
    <hyperlink ref="G15" r:id="rId12" display="javascript:void(0);" xr:uid="{A3B8260D-6CC0-B342-8308-0803DE6E6B9D}"/>
    <hyperlink ref="G16" r:id="rId13" display="javascript:void(0);" xr:uid="{91029514-4BF7-7C43-997D-49D813A946FC}"/>
    <hyperlink ref="G17" r:id="rId14" display="javascript:void(0);" xr:uid="{62A3DA9F-0C74-2141-8F7B-B529147017E9}"/>
    <hyperlink ref="G18" r:id="rId15" display="javascript:void(0);" xr:uid="{79273270-AAF3-D543-BA75-CC82CB09DF4F}"/>
    <hyperlink ref="G19" r:id="rId16" display="javascript:void(0);" xr:uid="{CBA2F507-C099-BF4B-B026-7F8E51BC1C0A}"/>
    <hyperlink ref="G20" r:id="rId17" display="javascript:void(0);" xr:uid="{85375FE8-C67E-3F41-BED2-CCF17675920F}"/>
    <hyperlink ref="G21" r:id="rId18" display="javascript:void(0);" xr:uid="{C4A325FA-D52B-D24B-A0DF-F4DA83F41B98}"/>
    <hyperlink ref="G22" r:id="rId19" display="javascript:void(0);" xr:uid="{4D470BD3-52A0-C743-9A62-C0F10D079F66}"/>
    <hyperlink ref="G23" r:id="rId20" display="javascript:void(0);" xr:uid="{BA2CEF56-8ADA-E247-91F7-D886E40FCBC1}"/>
    <hyperlink ref="G24" r:id="rId21" display="javascript:void(0);" xr:uid="{F4666366-CCD7-C044-95AB-387BA17278D4}"/>
    <hyperlink ref="G25" r:id="rId22" display="javascript:void(0);" xr:uid="{C747ADA0-B2F7-BC47-81AD-9F02892BF84D}"/>
    <hyperlink ref="G26" r:id="rId23" display="javascript:void(0);" xr:uid="{870B5C82-3D8E-014A-BC41-306F3411BFAF}"/>
    <hyperlink ref="G27" r:id="rId24" display="javascript:void(0);" xr:uid="{4F7F0714-54C0-5049-A132-CAE2E8106C06}"/>
    <hyperlink ref="G28" r:id="rId25" display="javascript:void(0);" xr:uid="{735A501D-A3D9-9B4C-9DC1-7F6A101FC651}"/>
    <hyperlink ref="G29" r:id="rId26" display="javascript:void(0);" xr:uid="{907E3BA6-87DE-3949-B53C-6CAE9E6F55A6}"/>
    <hyperlink ref="G30" r:id="rId27" display="javascript:void(0);" xr:uid="{D4871193-08AA-314A-AA6C-4F8CB823619F}"/>
    <hyperlink ref="G31" r:id="rId28" display="javascript:void(0);" xr:uid="{8EB4E457-E4BD-174E-AC65-72CFE5526EB8}"/>
    <hyperlink ref="G32" r:id="rId29" display="javascript:void(0);" xr:uid="{DC922C1E-2D83-114D-A21B-B377CFBC6384}"/>
    <hyperlink ref="G33" r:id="rId30" display="javascript:void(0);" xr:uid="{B12D9DEF-9E5F-1944-9545-CDB7D5ECDE0F}"/>
    <hyperlink ref="G34" r:id="rId31" display="javascript:void(0);" xr:uid="{AE411E52-9520-3D4D-93D5-A55E53B4532B}"/>
    <hyperlink ref="M4" r:id="rId32" display="javascript:void(0);" xr:uid="{EE23C287-E981-F94C-9283-07C45BB0F465}"/>
    <hyperlink ref="M5" r:id="rId33" display="javascript:void(0);" xr:uid="{AD0734ED-1CA1-C24D-BB7D-C1516257544E}"/>
    <hyperlink ref="M6" r:id="rId34" display="javascript:void(0);" xr:uid="{6804A4A1-0718-0C4E-9FB0-653E230A597A}"/>
    <hyperlink ref="M7" r:id="rId35" display="javascript:void(0);" xr:uid="{A2ED67BF-CE55-FB44-B8FB-F993E1E61798}"/>
    <hyperlink ref="M8" r:id="rId36" display="javascript:void(0);" xr:uid="{3FBF8764-B371-0145-93B6-6A7914358C36}"/>
    <hyperlink ref="M9" r:id="rId37" display="javascript:void(0);" xr:uid="{B0B284B8-A179-A641-9847-4A1451F38C6D}"/>
    <hyperlink ref="M10" r:id="rId38" display="javascript:void(0);" xr:uid="{39CDAB4A-BA10-0244-AABD-28B0054EBD3D}"/>
    <hyperlink ref="M11" r:id="rId39" display="javascript:void(0);" xr:uid="{E9A05353-74D0-F643-913B-A5D522BD37BE}"/>
    <hyperlink ref="M12" r:id="rId40" display="javascript:void(0);" xr:uid="{AB0A1061-A136-4C47-91F9-FFBACF932582}"/>
    <hyperlink ref="M13" r:id="rId41" display="javascript:void(0);" xr:uid="{0D28DFA2-0A6F-2A48-A0E3-DBB537A4678F}"/>
    <hyperlink ref="M14" r:id="rId42" display="javascript:void(0);" xr:uid="{78CB7958-7183-5F41-AC47-BA2869696DEB}"/>
    <hyperlink ref="M15" r:id="rId43" display="javascript:void(0);" xr:uid="{352FD0B9-7F88-7046-A2FE-9F396D2D9810}"/>
    <hyperlink ref="M16" r:id="rId44" display="javascript:void(0);" xr:uid="{BA1C512D-3C25-274A-BF36-1C74146CE74B}"/>
    <hyperlink ref="M17" r:id="rId45" display="javascript:void(0);" xr:uid="{D7A40E70-43B4-E142-86BC-0FEF69503EBD}"/>
    <hyperlink ref="M18" r:id="rId46" display="javascript:void(0);" xr:uid="{07C4130B-2261-D040-A6C1-6A147F6A6C1A}"/>
    <hyperlink ref="M19" r:id="rId47" display="javascript:void(0);" xr:uid="{28D43ED1-282A-BF48-8871-7D2E9FAFD092}"/>
    <hyperlink ref="M20" r:id="rId48" display="javascript:void(0);" xr:uid="{090325B2-9788-4147-9317-2BCCE02431E7}"/>
    <hyperlink ref="M21" r:id="rId49" display="javascript:void(0);" xr:uid="{517C1ADD-6D86-9C48-B618-9470E54A0BB4}"/>
    <hyperlink ref="M22" r:id="rId50" display="javascript:void(0);" xr:uid="{AE988AD7-2343-AE40-BCFC-A39E67A88327}"/>
    <hyperlink ref="M23" r:id="rId51" display="javascript:void(0);" xr:uid="{E30CD47C-F781-5E4F-999C-B76C65D201D7}"/>
    <hyperlink ref="M24" r:id="rId52" display="javascript:void(0);" xr:uid="{921E6F50-4947-5144-A07F-0326CC25476F}"/>
    <hyperlink ref="M25" r:id="rId53" display="javascript:void(0);" xr:uid="{DCD4099A-D6C9-4C49-B416-9991AE390123}"/>
    <hyperlink ref="M26" r:id="rId54" display="javascript:void(0);" xr:uid="{17C9D5BB-373A-5542-861E-9FAE45C29826}"/>
    <hyperlink ref="M27" r:id="rId55" display="javascript:void(0);" xr:uid="{B2BEA49B-DD52-D84D-A3EC-D68FCA5BEDDA}"/>
    <hyperlink ref="M28" r:id="rId56" display="javascript:void(0);" xr:uid="{D5EE01E7-8B0F-3947-941B-59394744B9A2}"/>
    <hyperlink ref="M29" r:id="rId57" display="javascript:void(0);" xr:uid="{8BEF9D4F-97C6-1E49-BCFA-33D24CA3D16D}"/>
    <hyperlink ref="M30" r:id="rId58" display="javascript:void(0);" xr:uid="{DEBDCAA6-9470-4547-8117-B214F65C64E4}"/>
    <hyperlink ref="M31" r:id="rId59" display="javascript:void(0);" xr:uid="{169564B4-FD5A-EA49-A05A-3AAB34D1EA03}"/>
    <hyperlink ref="M32" r:id="rId60" display="javascript:void(0);" xr:uid="{B0FD459B-E8CD-5B46-B8AF-E0E5CE6ED1A6}"/>
    <hyperlink ref="M33" r:id="rId61" display="javascript:void(0);" xr:uid="{9B4458A0-7885-5C4A-BA90-7D38CEF0C22E}"/>
    <hyperlink ref="M34" r:id="rId62" display="javascript:void(0);" xr:uid="{DFCFCB8D-8E1E-BF4C-B12D-93DFE8FE8768}"/>
    <hyperlink ref="S4" r:id="rId63" display="javascript:void(0);" xr:uid="{EE728FD7-4363-924D-AA60-AD664A7D26D4}"/>
    <hyperlink ref="S5" r:id="rId64" display="javascript:void(0);" xr:uid="{17716978-25CC-9142-BC01-41520F610C0D}"/>
    <hyperlink ref="S6" r:id="rId65" display="javascript:void(0);" xr:uid="{6030BFDB-C0B3-DE43-AF2A-73DF330E73BC}"/>
    <hyperlink ref="S7" r:id="rId66" display="javascript:void(0);" xr:uid="{D4915649-FE2B-D54F-BA50-3AA791082747}"/>
    <hyperlink ref="S8" r:id="rId67" display="javascript:void(0);" xr:uid="{576EDE32-F907-0B4E-B0F7-14A339B3D723}"/>
    <hyperlink ref="S9" r:id="rId68" display="javascript:void(0);" xr:uid="{B5B6B0E0-E49A-9643-9323-24F7A53BDD8D}"/>
    <hyperlink ref="S10" r:id="rId69" display="javascript:void(0);" xr:uid="{283C645B-8783-A040-9940-9F93D459D905}"/>
    <hyperlink ref="S11" r:id="rId70" display="javascript:void(0);" xr:uid="{9F05CBAA-6772-D74C-BA8F-826E93F3279E}"/>
    <hyperlink ref="S12" r:id="rId71" display="javascript:void(0);" xr:uid="{1FCAB069-749E-5346-BC74-8953DDDA9A00}"/>
    <hyperlink ref="S13" r:id="rId72" display="javascript:void(0);" xr:uid="{ABA04F4F-AACA-2C49-8A50-07E96C1E38B7}"/>
    <hyperlink ref="S14" r:id="rId73" display="javascript:void(0);" xr:uid="{1E93A719-BE12-8647-9BD3-1DB0C4ECC9E2}"/>
    <hyperlink ref="S15" r:id="rId74" display="javascript:void(0);" xr:uid="{51CE5017-E927-C44A-9B57-8377085FE697}"/>
    <hyperlink ref="S16" r:id="rId75" display="javascript:void(0);" xr:uid="{6FE9E182-6FA8-E84C-A9E1-387A52D02672}"/>
    <hyperlink ref="S17" r:id="rId76" display="javascript:void(0);" xr:uid="{9E8D255C-7C78-C04A-8A74-515DF0B3687D}"/>
    <hyperlink ref="S18" r:id="rId77" display="javascript:void(0);" xr:uid="{0806D2DD-60B7-8B41-A52A-5E843EACA1F7}"/>
    <hyperlink ref="S19" r:id="rId78" display="javascript:void(0);" xr:uid="{160913E6-81DC-3F42-B095-806855A12823}"/>
    <hyperlink ref="S20" r:id="rId79" display="javascript:void(0);" xr:uid="{5389A99D-04C3-A24C-AE9D-28FCC603ADFC}"/>
    <hyperlink ref="S21" r:id="rId80" display="javascript:void(0);" xr:uid="{F1F6AE2A-D147-CE42-9549-A1DD6315ED56}"/>
    <hyperlink ref="S22" r:id="rId81" display="javascript:void(0);" xr:uid="{5AA48CB4-C62D-3346-BB17-A4CB4ED7AC3A}"/>
    <hyperlink ref="S23" r:id="rId82" display="javascript:void(0);" xr:uid="{293CABC2-531F-064A-ACF5-A39277401ED9}"/>
    <hyperlink ref="S24" r:id="rId83" display="javascript:void(0);" xr:uid="{FC1F1528-028D-7342-A254-3CCA2F838A37}"/>
    <hyperlink ref="S25" r:id="rId84" display="javascript:void(0);" xr:uid="{29BA4F9B-06CB-8441-BAC1-6BD38316A518}"/>
    <hyperlink ref="S26" r:id="rId85" display="javascript:void(0);" xr:uid="{11768AC4-12B4-7E40-B6A7-C2E78A7E9F6A}"/>
    <hyperlink ref="S27" r:id="rId86" display="javascript:void(0);" xr:uid="{A883D82C-D10C-B341-BAE5-51B3AE15DD3B}"/>
    <hyperlink ref="S28" r:id="rId87" display="javascript:void(0);" xr:uid="{1BA844C5-F7A2-264E-A842-1C9195B84BB6}"/>
    <hyperlink ref="S29" r:id="rId88" display="javascript:void(0);" xr:uid="{F11236DF-E82A-7C46-AFA4-8F1F74352A9F}"/>
    <hyperlink ref="S30" r:id="rId89" display="javascript:void(0);" xr:uid="{705559E4-75C9-F24F-9DC3-BB385DE28F02}"/>
    <hyperlink ref="S31" r:id="rId90" display="javascript:void(0);" xr:uid="{080DE8AB-58A7-A64D-AC9F-2D823E4ACAC8}"/>
    <hyperlink ref="S32" r:id="rId91" display="javascript:void(0);" xr:uid="{5FE50B49-742E-3D4C-BD55-047E9B315360}"/>
    <hyperlink ref="S33" r:id="rId92" display="javascript:void(0);" xr:uid="{1ED9C9B0-8B66-E840-80E6-BB098BF69CE0}"/>
    <hyperlink ref="S34" r:id="rId93" display="javascript:void(0);" xr:uid="{8B4F799A-19DA-EA4E-9A58-660FFAB3CE72}"/>
  </hyperlinks>
  <pageMargins left="0.7" right="0.7" top="0.75" bottom="0.75" header="0.3" footer="0.3"/>
  <pageSetup paperSize="9" orientation="portrait" horizontalDpi="0" verticalDpi="0"/>
  <tableParts count="1">
    <tablePart r:id="rId9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5595-D318-5242-9375-CAF513B6B236}">
  <dimension ref="A1:D41"/>
  <sheetViews>
    <sheetView zoomScaleNormal="100" workbookViewId="0">
      <selection activeCell="A7" sqref="A7"/>
    </sheetView>
    <sheetView workbookViewId="1"/>
  </sheetViews>
  <sheetFormatPr baseColWidth="10" defaultRowHeight="16" x14ac:dyDescent="0.2"/>
  <cols>
    <col min="1" max="1" width="58.83203125" customWidth="1"/>
    <col min="2" max="2" width="11.6640625" bestFit="1" customWidth="1"/>
    <col min="3" max="4" width="11.6640625" customWidth="1"/>
  </cols>
  <sheetData>
    <row r="1" spans="1:4" x14ac:dyDescent="0.2">
      <c r="A1" s="31" t="s">
        <v>173</v>
      </c>
      <c r="B1" s="31" t="s">
        <v>30</v>
      </c>
      <c r="C1" s="31" t="s">
        <v>31</v>
      </c>
      <c r="D1" s="31" t="s">
        <v>32</v>
      </c>
    </row>
    <row r="2" spans="1:4" x14ac:dyDescent="0.2">
      <c r="A2" t="s">
        <v>26</v>
      </c>
      <c r="B2" s="33">
        <v>13431</v>
      </c>
      <c r="C2" s="33">
        <v>5773</v>
      </c>
      <c r="D2" s="33">
        <v>3390</v>
      </c>
    </row>
    <row r="3" spans="1:4" x14ac:dyDescent="0.2">
      <c r="A3" s="89" t="s">
        <v>87</v>
      </c>
      <c r="B3" s="32"/>
      <c r="C3" s="32"/>
      <c r="D3" s="32"/>
    </row>
    <row r="4" spans="1:4" x14ac:dyDescent="0.2">
      <c r="A4" t="s">
        <v>20</v>
      </c>
      <c r="B4" s="91">
        <v>5326</v>
      </c>
      <c r="C4" s="91">
        <v>4990</v>
      </c>
      <c r="D4" s="91">
        <v>5369</v>
      </c>
    </row>
    <row r="5" spans="1:4" x14ac:dyDescent="0.2">
      <c r="A5" t="s">
        <v>88</v>
      </c>
      <c r="B5" s="91">
        <v>871</v>
      </c>
      <c r="C5" s="91">
        <v>3511</v>
      </c>
      <c r="D5" s="91">
        <v>3128</v>
      </c>
    </row>
    <row r="6" spans="1:4" x14ac:dyDescent="0.2">
      <c r="A6" t="s">
        <v>74</v>
      </c>
      <c r="B6" s="91">
        <v>-2739</v>
      </c>
      <c r="C6" s="91">
        <v>-821</v>
      </c>
      <c r="D6" s="91">
        <v>-1346</v>
      </c>
    </row>
    <row r="7" spans="1:4" x14ac:dyDescent="0.2">
      <c r="A7" t="s">
        <v>35</v>
      </c>
      <c r="B7" s="91">
        <v>-295</v>
      </c>
      <c r="C7" s="91">
        <v>-575</v>
      </c>
      <c r="D7" s="91">
        <v>-782</v>
      </c>
    </row>
    <row r="8" spans="1:4" x14ac:dyDescent="0.2">
      <c r="A8" t="s">
        <v>89</v>
      </c>
      <c r="B8" s="91">
        <v>145</v>
      </c>
      <c r="C8" s="91">
        <v>437</v>
      </c>
      <c r="D8" s="91">
        <v>720</v>
      </c>
    </row>
    <row r="9" spans="1:4" x14ac:dyDescent="0.2">
      <c r="A9" t="s">
        <v>90</v>
      </c>
      <c r="B9" s="91">
        <v>577</v>
      </c>
      <c r="C9" s="91">
        <v>1046</v>
      </c>
      <c r="D9" s="91">
        <v>-1908</v>
      </c>
    </row>
    <row r="10" spans="1:4" x14ac:dyDescent="0.2">
      <c r="A10" t="s">
        <v>91</v>
      </c>
      <c r="B10" s="91">
        <v>1363</v>
      </c>
      <c r="C10" s="91">
        <v>1366</v>
      </c>
      <c r="D10" s="91">
        <v>1143</v>
      </c>
    </row>
    <row r="11" spans="1:4" x14ac:dyDescent="0.2">
      <c r="A11" t="s">
        <v>92</v>
      </c>
      <c r="B11" s="91">
        <v>-148</v>
      </c>
      <c r="C11" s="91">
        <v>-143</v>
      </c>
      <c r="D11" s="91">
        <v>-25</v>
      </c>
    </row>
    <row r="12" spans="1:4" x14ac:dyDescent="0.2">
      <c r="A12" s="89" t="s">
        <v>93</v>
      </c>
      <c r="B12" s="91"/>
      <c r="C12" s="91"/>
      <c r="D12" s="91"/>
    </row>
    <row r="13" spans="1:4" x14ac:dyDescent="0.2">
      <c r="A13" t="s">
        <v>94</v>
      </c>
      <c r="B13" s="91">
        <v>-283</v>
      </c>
      <c r="C13" s="91">
        <v>-565</v>
      </c>
      <c r="D13" s="91">
        <v>358</v>
      </c>
    </row>
    <row r="14" spans="1:4" x14ac:dyDescent="0.2">
      <c r="A14" t="s">
        <v>52</v>
      </c>
      <c r="B14" s="91">
        <v>-114</v>
      </c>
      <c r="C14" s="91">
        <v>-42</v>
      </c>
      <c r="D14" s="91">
        <v>-183</v>
      </c>
    </row>
    <row r="15" spans="1:4" x14ac:dyDescent="0.2">
      <c r="A15" t="s">
        <v>66</v>
      </c>
      <c r="B15" s="91">
        <v>-42</v>
      </c>
      <c r="C15" s="91">
        <v>265</v>
      </c>
      <c r="D15" s="91">
        <v>-201</v>
      </c>
    </row>
    <row r="16" spans="1:4" x14ac:dyDescent="0.2">
      <c r="A16" t="s">
        <v>95</v>
      </c>
      <c r="B16" s="91">
        <v>237</v>
      </c>
      <c r="C16" s="91">
        <v>156</v>
      </c>
      <c r="D16" s="91">
        <v>-1142</v>
      </c>
    </row>
    <row r="17" spans="1:4" x14ac:dyDescent="0.2">
      <c r="A17" t="s">
        <v>25</v>
      </c>
      <c r="B17" s="91">
        <v>-228</v>
      </c>
      <c r="C17" s="91">
        <v>-1427</v>
      </c>
      <c r="D17" s="91">
        <v>1345</v>
      </c>
    </row>
    <row r="18" spans="1:4" x14ac:dyDescent="0.2">
      <c r="A18" t="s">
        <v>96</v>
      </c>
      <c r="B18" s="92">
        <v>18101</v>
      </c>
      <c r="C18" s="92">
        <v>13971</v>
      </c>
      <c r="D18" s="92">
        <v>9866</v>
      </c>
    </row>
    <row r="19" spans="1:4" x14ac:dyDescent="0.2">
      <c r="A19" s="89" t="s">
        <v>97</v>
      </c>
      <c r="B19" s="91"/>
      <c r="C19" s="91"/>
      <c r="D19" s="91"/>
    </row>
    <row r="20" spans="1:4" x14ac:dyDescent="0.2">
      <c r="A20" t="s">
        <v>98</v>
      </c>
      <c r="B20" s="91">
        <v>-8024</v>
      </c>
      <c r="C20" s="91">
        <v>-5412</v>
      </c>
      <c r="D20" s="91">
        <v>-4969</v>
      </c>
    </row>
    <row r="21" spans="1:4" x14ac:dyDescent="0.2">
      <c r="A21" t="s">
        <v>99</v>
      </c>
      <c r="B21" s="91">
        <v>4</v>
      </c>
      <c r="C21" s="91">
        <v>105</v>
      </c>
      <c r="D21" s="91">
        <v>458</v>
      </c>
    </row>
    <row r="22" spans="1:4" x14ac:dyDescent="0.2">
      <c r="A22" t="s">
        <v>100</v>
      </c>
      <c r="B22" s="91">
        <v>-98</v>
      </c>
      <c r="C22" s="91">
        <v>-1506</v>
      </c>
      <c r="D22" s="91">
        <v>0</v>
      </c>
    </row>
    <row r="23" spans="1:4" x14ac:dyDescent="0.2">
      <c r="A23" t="s">
        <v>92</v>
      </c>
      <c r="B23" s="91">
        <v>75</v>
      </c>
      <c r="C23" s="91">
        <v>-68</v>
      </c>
      <c r="D23" s="91">
        <v>-130</v>
      </c>
    </row>
    <row r="24" spans="1:4" x14ac:dyDescent="0.2">
      <c r="A24" t="s">
        <v>101</v>
      </c>
      <c r="B24" s="92">
        <v>-8043</v>
      </c>
      <c r="C24" s="92">
        <v>-6881</v>
      </c>
      <c r="D24" s="92">
        <v>-4641</v>
      </c>
    </row>
    <row r="25" spans="1:4" x14ac:dyDescent="0.2">
      <c r="A25" s="89" t="s">
        <v>102</v>
      </c>
      <c r="B25" s="91"/>
      <c r="C25" s="91"/>
      <c r="D25" s="91"/>
    </row>
    <row r="26" spans="1:4" x14ac:dyDescent="0.2">
      <c r="A26" t="s">
        <v>103</v>
      </c>
      <c r="B26" s="91">
        <v>-943</v>
      </c>
      <c r="C26" s="91">
        <v>1532</v>
      </c>
      <c r="D26" s="91">
        <v>-191</v>
      </c>
    </row>
    <row r="27" spans="1:4" x14ac:dyDescent="0.2">
      <c r="A27" t="s">
        <v>73</v>
      </c>
      <c r="B27" s="91">
        <v>1057</v>
      </c>
      <c r="C27" s="91">
        <v>132</v>
      </c>
      <c r="D27" s="91">
        <v>83</v>
      </c>
    </row>
    <row r="28" spans="1:4" x14ac:dyDescent="0.2">
      <c r="A28" t="s">
        <v>104</v>
      </c>
      <c r="B28" s="91">
        <v>-3735</v>
      </c>
      <c r="C28" s="91">
        <v>-3064</v>
      </c>
      <c r="D28" s="91">
        <v>-1675</v>
      </c>
    </row>
    <row r="29" spans="1:4" x14ac:dyDescent="0.2">
      <c r="A29" t="s">
        <v>105</v>
      </c>
      <c r="B29" s="91">
        <v>-1803</v>
      </c>
      <c r="C29" s="91">
        <v>-1366</v>
      </c>
      <c r="D29" s="91">
        <v>0</v>
      </c>
    </row>
    <row r="30" spans="1:4" x14ac:dyDescent="0.2">
      <c r="A30" t="s">
        <v>106</v>
      </c>
      <c r="B30" s="91">
        <v>-3500</v>
      </c>
      <c r="C30" s="91">
        <v>-2992</v>
      </c>
      <c r="D30" s="91">
        <v>0</v>
      </c>
    </row>
    <row r="31" spans="1:4" x14ac:dyDescent="0.2">
      <c r="A31" t="s">
        <v>107</v>
      </c>
      <c r="B31" s="91">
        <v>12</v>
      </c>
      <c r="C31" s="91">
        <v>9</v>
      </c>
      <c r="D31" s="91">
        <v>735</v>
      </c>
    </row>
    <row r="32" spans="1:4" x14ac:dyDescent="0.2">
      <c r="A32" t="s">
        <v>108</v>
      </c>
      <c r="B32" s="91">
        <v>-439</v>
      </c>
      <c r="C32" s="91">
        <v>-8610</v>
      </c>
      <c r="D32" s="91">
        <v>-900</v>
      </c>
    </row>
    <row r="33" spans="1:4" x14ac:dyDescent="0.2">
      <c r="A33" t="s">
        <v>92</v>
      </c>
      <c r="B33" s="91">
        <v>-1015</v>
      </c>
      <c r="C33" s="91">
        <v>-929</v>
      </c>
      <c r="D33" s="91">
        <v>-776</v>
      </c>
    </row>
    <row r="34" spans="1:4" x14ac:dyDescent="0.2">
      <c r="A34" t="s">
        <v>109</v>
      </c>
      <c r="B34" s="92">
        <v>-10366</v>
      </c>
      <c r="C34" s="92">
        <v>-15288</v>
      </c>
      <c r="D34" s="92">
        <v>-2724</v>
      </c>
    </row>
    <row r="35" spans="1:4" x14ac:dyDescent="0.2">
      <c r="A35" t="s">
        <v>110</v>
      </c>
      <c r="B35" s="91">
        <v>5</v>
      </c>
      <c r="C35" s="91">
        <v>65</v>
      </c>
      <c r="D35" s="91">
        <v>73</v>
      </c>
    </row>
    <row r="36" spans="1:4" x14ac:dyDescent="0.2">
      <c r="A36" t="s">
        <v>111</v>
      </c>
      <c r="B36" s="92">
        <v>-303</v>
      </c>
      <c r="C36" s="92">
        <v>-8133</v>
      </c>
      <c r="D36" s="92">
        <v>2574</v>
      </c>
    </row>
    <row r="37" spans="1:4" x14ac:dyDescent="0.2">
      <c r="A37" t="s">
        <v>112</v>
      </c>
      <c r="B37" s="91">
        <v>6102</v>
      </c>
      <c r="C37" s="91">
        <v>14235</v>
      </c>
      <c r="D37" s="91">
        <v>11661</v>
      </c>
    </row>
    <row r="38" spans="1:4" x14ac:dyDescent="0.2">
      <c r="A38" t="s">
        <v>113</v>
      </c>
      <c r="B38" s="91">
        <v>5799</v>
      </c>
      <c r="C38" s="91">
        <v>6102</v>
      </c>
      <c r="D38" s="91">
        <v>14235</v>
      </c>
    </row>
    <row r="39" spans="1:4" x14ac:dyDescent="0.2">
      <c r="A39" s="89" t="s">
        <v>114</v>
      </c>
      <c r="B39" s="91"/>
      <c r="C39" s="91"/>
      <c r="D39" s="91"/>
    </row>
    <row r="40" spans="1:4" x14ac:dyDescent="0.2">
      <c r="A40" t="s">
        <v>115</v>
      </c>
      <c r="B40" s="91">
        <v>2050</v>
      </c>
      <c r="C40" s="91">
        <v>2134</v>
      </c>
      <c r="D40" s="91">
        <v>2110</v>
      </c>
    </row>
    <row r="41" spans="1:4" x14ac:dyDescent="0.2">
      <c r="A41" t="s">
        <v>116</v>
      </c>
      <c r="B41" s="33">
        <v>1221</v>
      </c>
      <c r="C41" s="33">
        <v>3963</v>
      </c>
      <c r="D41" s="33">
        <v>1193</v>
      </c>
    </row>
  </sheetData>
  <pageMargins left="0.7" right="0.7" top="0.75" bottom="0.75" header="0.3" footer="0.3"/>
  <pageSetup paperSize="9" orientation="portrait"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90B-D332-134B-8A1E-F4CC4A5CEEF5}">
  <dimension ref="A1:U43"/>
  <sheetViews>
    <sheetView zoomScaleNormal="100" workbookViewId="0">
      <selection activeCell="A15" sqref="A15"/>
    </sheetView>
    <sheetView zoomScale="130" zoomScaleNormal="130" workbookViewId="1">
      <selection activeCell="H22" sqref="H22"/>
    </sheetView>
  </sheetViews>
  <sheetFormatPr baseColWidth="10" defaultRowHeight="16" x14ac:dyDescent="0.2"/>
  <cols>
    <col min="1" max="1" width="65.6640625" customWidth="1"/>
    <col min="2" max="4" width="10.83203125" customWidth="1"/>
    <col min="5" max="6" width="10.5" customWidth="1"/>
    <col min="7" max="7" width="8.5" bestFit="1" customWidth="1"/>
    <col min="8" max="8" width="119.6640625" customWidth="1"/>
    <col min="9" max="9" width="16.33203125" customWidth="1"/>
    <col min="10" max="10" width="9.1640625" bestFit="1" customWidth="1"/>
    <col min="11" max="11" width="30.6640625" customWidth="1"/>
    <col min="13" max="13" width="68.83203125" bestFit="1" customWidth="1"/>
    <col min="14" max="14" width="9.1640625" bestFit="1" customWidth="1"/>
    <col min="15" max="15" width="8.83203125" bestFit="1" customWidth="1"/>
    <col min="17" max="17" width="68.33203125" bestFit="1" customWidth="1"/>
    <col min="19" max="19" width="68.83203125" bestFit="1" customWidth="1"/>
    <col min="20" max="21" width="8.83203125" bestFit="1" customWidth="1"/>
  </cols>
  <sheetData>
    <row r="1" spans="1:21" x14ac:dyDescent="0.2">
      <c r="A1" s="76" t="s">
        <v>174</v>
      </c>
      <c r="B1" s="77" t="s">
        <v>30</v>
      </c>
      <c r="C1" s="77" t="s">
        <v>31</v>
      </c>
      <c r="D1" s="77" t="s">
        <v>32</v>
      </c>
      <c r="E1" s="77" t="s">
        <v>117</v>
      </c>
      <c r="F1" s="77" t="s">
        <v>131</v>
      </c>
      <c r="I1" s="31" t="s">
        <v>47</v>
      </c>
      <c r="J1" s="31" t="s">
        <v>31</v>
      </c>
      <c r="K1" s="31" t="s">
        <v>32</v>
      </c>
      <c r="M1" s="31" t="s">
        <v>47</v>
      </c>
      <c r="S1" s="31" t="s">
        <v>47</v>
      </c>
    </row>
    <row r="2" spans="1:21" x14ac:dyDescent="0.2">
      <c r="A2" s="89" t="s">
        <v>49</v>
      </c>
      <c r="B2" s="32"/>
      <c r="C2" s="32"/>
      <c r="D2" s="32"/>
      <c r="E2" s="32"/>
      <c r="F2" s="32"/>
      <c r="I2" s="31" t="s">
        <v>48</v>
      </c>
      <c r="J2" s="31"/>
      <c r="K2" s="31"/>
      <c r="M2" s="31" t="s">
        <v>48</v>
      </c>
      <c r="N2" s="37" t="s">
        <v>32</v>
      </c>
      <c r="O2" s="31" t="s">
        <v>117</v>
      </c>
      <c r="S2" s="31" t="s">
        <v>48</v>
      </c>
      <c r="T2" s="37" t="s">
        <v>117</v>
      </c>
      <c r="U2" s="37" t="s">
        <v>131</v>
      </c>
    </row>
    <row r="3" spans="1:21" x14ac:dyDescent="0.2">
      <c r="A3" s="87" t="s">
        <v>50</v>
      </c>
      <c r="B3" s="33">
        <v>5695</v>
      </c>
      <c r="C3" s="33">
        <v>6002</v>
      </c>
      <c r="D3" s="33">
        <v>14182</v>
      </c>
      <c r="E3" s="33">
        <v>11615</v>
      </c>
      <c r="F3" s="33">
        <v>15959</v>
      </c>
      <c r="I3" s="30" t="s">
        <v>49</v>
      </c>
      <c r="J3" s="32"/>
      <c r="K3" s="32"/>
      <c r="M3" s="30" t="s">
        <v>49</v>
      </c>
      <c r="N3" s="32"/>
      <c r="O3" s="32"/>
      <c r="S3" s="30" t="s">
        <v>49</v>
      </c>
      <c r="T3" s="32"/>
      <c r="U3" s="32"/>
    </row>
    <row r="4" spans="1:21" x14ac:dyDescent="0.2">
      <c r="A4" s="87" t="s">
        <v>51</v>
      </c>
      <c r="B4" s="91">
        <v>13217</v>
      </c>
      <c r="C4" s="91">
        <v>12729</v>
      </c>
      <c r="D4" s="91">
        <v>12330</v>
      </c>
      <c r="E4" s="91">
        <v>12652</v>
      </c>
      <c r="F4" s="91">
        <v>13367</v>
      </c>
      <c r="I4" s="30" t="s">
        <v>50</v>
      </c>
      <c r="J4" s="33">
        <v>6002</v>
      </c>
      <c r="K4" s="33">
        <v>14182</v>
      </c>
      <c r="M4" s="30" t="s">
        <v>50</v>
      </c>
      <c r="N4" s="33">
        <v>14182</v>
      </c>
      <c r="O4" s="33">
        <v>11615</v>
      </c>
      <c r="S4" s="30" t="s">
        <v>50</v>
      </c>
      <c r="T4" s="33">
        <v>11615</v>
      </c>
      <c r="U4" s="33">
        <v>15959</v>
      </c>
    </row>
    <row r="5" spans="1:21" x14ac:dyDescent="0.2">
      <c r="A5" s="87" t="s">
        <v>52</v>
      </c>
      <c r="B5" s="91">
        <v>2134</v>
      </c>
      <c r="C5" s="91">
        <v>2022</v>
      </c>
      <c r="D5" s="91">
        <v>1963</v>
      </c>
      <c r="E5" s="91">
        <v>1742</v>
      </c>
      <c r="F5" s="91">
        <v>1331</v>
      </c>
      <c r="I5" s="30" t="s">
        <v>51</v>
      </c>
      <c r="J5" s="34">
        <v>12729</v>
      </c>
      <c r="K5" s="34">
        <v>12330</v>
      </c>
      <c r="M5" s="30" t="s">
        <v>51</v>
      </c>
      <c r="N5" s="34">
        <v>12330</v>
      </c>
      <c r="O5" s="34">
        <v>12652</v>
      </c>
      <c r="S5" s="30" t="s">
        <v>51</v>
      </c>
      <c r="T5" s="34">
        <v>12652</v>
      </c>
      <c r="U5" s="34">
        <v>13367</v>
      </c>
    </row>
    <row r="6" spans="1:21" x14ac:dyDescent="0.2">
      <c r="A6" s="87" t="s">
        <v>53</v>
      </c>
      <c r="B6" s="91">
        <v>2063</v>
      </c>
      <c r="C6" s="91">
        <v>2097</v>
      </c>
      <c r="D6" s="91">
        <v>3002</v>
      </c>
      <c r="E6" s="91">
        <v>1890</v>
      </c>
      <c r="F6" s="91">
        <v>2183</v>
      </c>
      <c r="I6" s="30" t="s">
        <v>52</v>
      </c>
      <c r="J6" s="34">
        <v>2022</v>
      </c>
      <c r="K6" s="34">
        <v>1963</v>
      </c>
      <c r="M6" s="30" t="s">
        <v>52</v>
      </c>
      <c r="N6" s="34">
        <v>1963</v>
      </c>
      <c r="O6" s="34">
        <v>1742</v>
      </c>
      <c r="S6" s="30" t="s">
        <v>52</v>
      </c>
      <c r="T6" s="34">
        <v>1742</v>
      </c>
      <c r="U6" s="34">
        <v>1331</v>
      </c>
    </row>
    <row r="7" spans="1:21" x14ac:dyDescent="0.2">
      <c r="A7" s="87" t="s">
        <v>54</v>
      </c>
      <c r="B7" s="91">
        <v>1158</v>
      </c>
      <c r="C7" s="91">
        <v>2391</v>
      </c>
      <c r="D7" s="91">
        <v>1286</v>
      </c>
      <c r="E7" s="91">
        <v>1199</v>
      </c>
      <c r="F7" s="91">
        <v>817</v>
      </c>
      <c r="I7" s="30" t="s">
        <v>53</v>
      </c>
      <c r="J7" s="34">
        <v>2097</v>
      </c>
      <c r="K7" s="34">
        <v>3002</v>
      </c>
      <c r="M7" s="30" t="s">
        <v>53</v>
      </c>
      <c r="N7" s="34">
        <v>3002</v>
      </c>
      <c r="O7" s="34">
        <v>1890</v>
      </c>
      <c r="S7" s="30" t="s">
        <v>53</v>
      </c>
      <c r="T7" s="34">
        <v>1890</v>
      </c>
      <c r="U7" s="34">
        <v>2183</v>
      </c>
    </row>
    <row r="8" spans="1:21" x14ac:dyDescent="0.2">
      <c r="A8" s="87" t="s">
        <v>55</v>
      </c>
      <c r="B8" s="92">
        <v>24267</v>
      </c>
      <c r="C8" s="92">
        <v>25241</v>
      </c>
      <c r="D8" s="92">
        <v>32763</v>
      </c>
      <c r="E8" s="92">
        <v>29098</v>
      </c>
      <c r="F8" s="92">
        <v>33657</v>
      </c>
      <c r="I8" s="30" t="s">
        <v>54</v>
      </c>
      <c r="J8" s="34">
        <v>2391</v>
      </c>
      <c r="K8" s="34">
        <v>1286</v>
      </c>
      <c r="M8" s="30" t="s">
        <v>54</v>
      </c>
      <c r="N8" s="34">
        <v>1286</v>
      </c>
      <c r="O8" s="34">
        <v>1199</v>
      </c>
      <c r="S8" s="30" t="s">
        <v>54</v>
      </c>
      <c r="T8" s="34">
        <v>1199</v>
      </c>
      <c r="U8" s="32">
        <v>817</v>
      </c>
    </row>
    <row r="9" spans="1:21" x14ac:dyDescent="0.2">
      <c r="A9" s="87" t="s">
        <v>56</v>
      </c>
      <c r="B9" s="91">
        <v>31327</v>
      </c>
      <c r="C9" s="91">
        <v>32312</v>
      </c>
      <c r="D9" s="91">
        <v>33591</v>
      </c>
      <c r="E9" s="91">
        <v>35777</v>
      </c>
      <c r="F9" s="91">
        <v>29549</v>
      </c>
      <c r="I9" s="30" t="s">
        <v>55</v>
      </c>
      <c r="J9" s="34">
        <v>25241</v>
      </c>
      <c r="K9" s="34">
        <v>32763</v>
      </c>
      <c r="M9" s="30" t="s">
        <v>55</v>
      </c>
      <c r="N9" s="34">
        <v>32763</v>
      </c>
      <c r="O9" s="34">
        <v>29098</v>
      </c>
      <c r="S9" s="30" t="s">
        <v>55</v>
      </c>
      <c r="T9" s="34">
        <v>29098</v>
      </c>
      <c r="U9" s="34">
        <v>33657</v>
      </c>
    </row>
    <row r="10" spans="1:21" x14ac:dyDescent="0.2">
      <c r="A10" s="87" t="s">
        <v>57</v>
      </c>
      <c r="B10" s="91">
        <v>8097</v>
      </c>
      <c r="C10" s="91">
        <v>4459</v>
      </c>
      <c r="D10" s="91">
        <v>3080</v>
      </c>
      <c r="E10" s="91">
        <v>3218</v>
      </c>
      <c r="F10" s="91">
        <v>3935</v>
      </c>
      <c r="I10" s="30" t="s">
        <v>56</v>
      </c>
      <c r="J10" s="34">
        <v>32312</v>
      </c>
      <c r="K10" s="34">
        <v>33591</v>
      </c>
      <c r="M10" s="30" t="s">
        <v>56</v>
      </c>
      <c r="N10" s="34">
        <v>33591</v>
      </c>
      <c r="O10" s="34">
        <v>35777</v>
      </c>
      <c r="S10" s="30" t="s">
        <v>56</v>
      </c>
      <c r="T10" s="34">
        <v>35777</v>
      </c>
      <c r="U10" s="34">
        <v>29549</v>
      </c>
    </row>
    <row r="11" spans="1:21" x14ac:dyDescent="0.2">
      <c r="A11" s="87" t="s">
        <v>58</v>
      </c>
      <c r="B11" s="91">
        <v>82041</v>
      </c>
      <c r="C11" s="91">
        <v>76674</v>
      </c>
      <c r="D11" s="91">
        <v>70090</v>
      </c>
      <c r="E11" s="91">
        <v>66998</v>
      </c>
      <c r="F11" s="91">
        <v>64892</v>
      </c>
      <c r="I11" s="30" t="s">
        <v>57</v>
      </c>
      <c r="J11" s="34">
        <v>4459</v>
      </c>
      <c r="K11" s="34">
        <v>3080</v>
      </c>
      <c r="M11" s="30" t="s">
        <v>57</v>
      </c>
      <c r="N11" s="34">
        <v>3080</v>
      </c>
      <c r="O11" s="34">
        <v>3218</v>
      </c>
      <c r="S11" s="30" t="s">
        <v>57</v>
      </c>
      <c r="T11" s="34">
        <v>3218</v>
      </c>
      <c r="U11" s="34">
        <v>3935</v>
      </c>
    </row>
    <row r="12" spans="1:21" x14ac:dyDescent="0.2">
      <c r="A12" s="87" t="s">
        <v>59</v>
      </c>
      <c r="B12" s="91">
        <v>-48889</v>
      </c>
      <c r="C12" s="91">
        <v>-45506</v>
      </c>
      <c r="D12" s="91">
        <v>-42610</v>
      </c>
      <c r="E12" s="91">
        <v>-39356</v>
      </c>
      <c r="F12" s="91">
        <v>-37920</v>
      </c>
      <c r="I12" s="30" t="s">
        <v>58</v>
      </c>
      <c r="J12" s="34">
        <v>76674</v>
      </c>
      <c r="K12" s="34">
        <v>70090</v>
      </c>
      <c r="M12" s="30" t="s">
        <v>58</v>
      </c>
      <c r="N12" s="34">
        <v>70090</v>
      </c>
      <c r="O12" s="34">
        <v>66998</v>
      </c>
      <c r="S12" s="30" t="s">
        <v>58</v>
      </c>
      <c r="T12" s="34">
        <v>66998</v>
      </c>
      <c r="U12" s="34">
        <v>64892</v>
      </c>
    </row>
    <row r="13" spans="1:21" x14ac:dyDescent="0.2">
      <c r="A13" s="87" t="s">
        <v>60</v>
      </c>
      <c r="B13" s="92">
        <v>33152</v>
      </c>
      <c r="C13" s="92">
        <v>31168</v>
      </c>
      <c r="D13" s="92">
        <v>27480</v>
      </c>
      <c r="E13" s="92">
        <v>27642</v>
      </c>
      <c r="F13" s="92">
        <v>26972</v>
      </c>
      <c r="I13" s="30" t="s">
        <v>59</v>
      </c>
      <c r="J13" s="34">
        <v>-45506</v>
      </c>
      <c r="K13" s="34">
        <v>-42610</v>
      </c>
      <c r="M13" s="30" t="s">
        <v>59</v>
      </c>
      <c r="N13" s="34">
        <v>-42610</v>
      </c>
      <c r="O13" s="34">
        <v>-39356</v>
      </c>
      <c r="S13" s="30" t="s">
        <v>59</v>
      </c>
      <c r="T13" s="34">
        <v>-39356</v>
      </c>
      <c r="U13" s="34">
        <v>-37920</v>
      </c>
    </row>
    <row r="14" spans="1:21" x14ac:dyDescent="0.2">
      <c r="A14" s="87" t="s">
        <v>61</v>
      </c>
      <c r="B14" s="91">
        <v>6911</v>
      </c>
      <c r="C14" s="91">
        <v>4728</v>
      </c>
      <c r="D14" s="91">
        <v>6285</v>
      </c>
      <c r="E14" s="91">
        <v>4814</v>
      </c>
      <c r="F14" s="91">
        <v>4521</v>
      </c>
      <c r="I14" s="30" t="s">
        <v>60</v>
      </c>
      <c r="J14" s="34">
        <v>31168</v>
      </c>
      <c r="K14" s="34">
        <v>27480</v>
      </c>
      <c r="M14" s="30" t="s">
        <v>60</v>
      </c>
      <c r="N14" s="34">
        <v>27480</v>
      </c>
      <c r="O14" s="34">
        <v>27642</v>
      </c>
      <c r="S14" s="30" t="s">
        <v>60</v>
      </c>
      <c r="T14" s="34">
        <v>27642</v>
      </c>
      <c r="U14" s="34">
        <v>26972</v>
      </c>
    </row>
    <row r="15" spans="1:21" x14ac:dyDescent="0.2">
      <c r="A15" s="87" t="s">
        <v>62</v>
      </c>
      <c r="B15" s="91">
        <v>1192</v>
      </c>
      <c r="C15" s="91">
        <v>1145</v>
      </c>
      <c r="D15" s="91">
        <v>1176</v>
      </c>
      <c r="E15" s="91">
        <v>1140</v>
      </c>
      <c r="F15" s="91">
        <v>1131</v>
      </c>
      <c r="I15" s="30" t="s">
        <v>61</v>
      </c>
      <c r="J15" s="34">
        <v>4728</v>
      </c>
      <c r="K15" s="34">
        <v>6285</v>
      </c>
      <c r="M15" s="30" t="s">
        <v>61</v>
      </c>
      <c r="N15" s="34">
        <v>6285</v>
      </c>
      <c r="O15" s="34">
        <v>4814</v>
      </c>
      <c r="S15" s="30" t="s">
        <v>61</v>
      </c>
      <c r="T15" s="34">
        <v>4814</v>
      </c>
      <c r="U15" s="34">
        <v>4521</v>
      </c>
    </row>
    <row r="16" spans="1:21" x14ac:dyDescent="0.2">
      <c r="A16" s="87" t="s">
        <v>63</v>
      </c>
      <c r="B16" s="92">
        <v>41255</v>
      </c>
      <c r="C16" s="92">
        <v>37041</v>
      </c>
      <c r="D16" s="92">
        <v>34941</v>
      </c>
      <c r="E16" s="92">
        <v>33596</v>
      </c>
      <c r="F16" s="92">
        <v>32624</v>
      </c>
      <c r="I16" s="30" t="s">
        <v>62</v>
      </c>
      <c r="J16" s="34">
        <v>1145</v>
      </c>
      <c r="K16" s="34">
        <v>1176</v>
      </c>
      <c r="M16" s="30" t="s">
        <v>62</v>
      </c>
      <c r="N16" s="34">
        <v>1176</v>
      </c>
      <c r="O16" s="34">
        <v>1140</v>
      </c>
      <c r="S16" s="30" t="s">
        <v>62</v>
      </c>
      <c r="T16" s="34">
        <v>1140</v>
      </c>
      <c r="U16" s="34">
        <v>1131</v>
      </c>
    </row>
    <row r="17" spans="1:21" x14ac:dyDescent="0.2">
      <c r="A17" s="87" t="s">
        <v>64</v>
      </c>
      <c r="B17" s="91">
        <v>9272</v>
      </c>
      <c r="C17" s="91">
        <v>10739</v>
      </c>
      <c r="D17" s="91">
        <v>13061</v>
      </c>
      <c r="E17" s="91">
        <v>14837</v>
      </c>
      <c r="F17" s="91">
        <v>17115</v>
      </c>
      <c r="I17" s="30" t="s">
        <v>63</v>
      </c>
      <c r="J17" s="34">
        <v>37041</v>
      </c>
      <c r="K17" s="34">
        <v>34941</v>
      </c>
      <c r="M17" s="30" t="s">
        <v>63</v>
      </c>
      <c r="N17" s="34">
        <v>34941</v>
      </c>
      <c r="O17" s="34">
        <v>33596</v>
      </c>
      <c r="S17" s="30" t="s">
        <v>63</v>
      </c>
      <c r="T17" s="34">
        <v>33596</v>
      </c>
      <c r="U17" s="34">
        <v>32624</v>
      </c>
    </row>
    <row r="18" spans="1:21" x14ac:dyDescent="0.2">
      <c r="A18" s="87" t="s">
        <v>65</v>
      </c>
      <c r="B18" s="91">
        <v>73294</v>
      </c>
      <c r="C18" s="91">
        <v>73326</v>
      </c>
      <c r="D18" s="91">
        <v>77067</v>
      </c>
      <c r="E18" s="91">
        <v>77897</v>
      </c>
      <c r="F18" s="91">
        <v>78071</v>
      </c>
      <c r="I18" s="30" t="s">
        <v>64</v>
      </c>
      <c r="J18" s="34">
        <v>10739</v>
      </c>
      <c r="K18" s="34">
        <v>13061</v>
      </c>
      <c r="M18" s="30" t="s">
        <v>64</v>
      </c>
      <c r="N18" s="34">
        <v>13061</v>
      </c>
      <c r="O18" s="34">
        <v>14837</v>
      </c>
      <c r="S18" s="30" t="s">
        <v>64</v>
      </c>
      <c r="T18" s="34">
        <v>14837</v>
      </c>
      <c r="U18" s="34">
        <v>17115</v>
      </c>
    </row>
    <row r="19" spans="1:21" x14ac:dyDescent="0.2">
      <c r="A19" s="87" t="s">
        <v>66</v>
      </c>
      <c r="B19" s="91">
        <v>10002</v>
      </c>
      <c r="C19" s="91">
        <v>13101</v>
      </c>
      <c r="D19" s="91">
        <v>11076</v>
      </c>
      <c r="E19" s="91">
        <v>9208</v>
      </c>
      <c r="F19" s="91">
        <v>8658</v>
      </c>
      <c r="I19" s="30" t="s">
        <v>65</v>
      </c>
      <c r="J19" s="34">
        <v>73326</v>
      </c>
      <c r="K19" s="34">
        <v>77067</v>
      </c>
      <c r="M19" s="30" t="s">
        <v>65</v>
      </c>
      <c r="N19" s="34">
        <v>77067</v>
      </c>
      <c r="O19" s="34">
        <v>77897</v>
      </c>
      <c r="S19" s="30" t="s">
        <v>65</v>
      </c>
      <c r="T19" s="34">
        <v>77897</v>
      </c>
      <c r="U19" s="34">
        <v>78071</v>
      </c>
    </row>
    <row r="20" spans="1:21" x14ac:dyDescent="0.2">
      <c r="A20" s="87" t="s">
        <v>67</v>
      </c>
      <c r="B20" s="92">
        <v>197514</v>
      </c>
      <c r="C20" s="92">
        <v>196219</v>
      </c>
      <c r="D20" s="92">
        <v>205579</v>
      </c>
      <c r="E20" s="92">
        <v>203631</v>
      </c>
      <c r="F20" s="92">
        <v>203609</v>
      </c>
      <c r="I20" s="30" t="s">
        <v>66</v>
      </c>
      <c r="J20" s="34">
        <v>13101</v>
      </c>
      <c r="K20" s="34">
        <v>11076</v>
      </c>
      <c r="M20" s="30" t="s">
        <v>66</v>
      </c>
      <c r="N20" s="34">
        <v>11076</v>
      </c>
      <c r="O20" s="34">
        <v>9208</v>
      </c>
      <c r="S20" s="30" t="s">
        <v>66</v>
      </c>
      <c r="T20" s="34">
        <v>9208</v>
      </c>
      <c r="U20" s="34">
        <v>8658</v>
      </c>
    </row>
    <row r="21" spans="1:21" x14ac:dyDescent="0.2">
      <c r="A21" s="89" t="s">
        <v>68</v>
      </c>
      <c r="B21" s="91"/>
      <c r="C21" s="91"/>
      <c r="D21" s="91"/>
      <c r="E21" s="91"/>
      <c r="F21" s="91"/>
      <c r="I21" s="30" t="s">
        <v>67</v>
      </c>
      <c r="J21" s="34">
        <v>196219</v>
      </c>
      <c r="K21" s="34">
        <v>205579</v>
      </c>
      <c r="M21" s="30" t="s">
        <v>67</v>
      </c>
      <c r="N21" s="34">
        <v>205579</v>
      </c>
      <c r="O21" s="34">
        <v>203631</v>
      </c>
      <c r="S21" s="30" t="s">
        <v>67</v>
      </c>
      <c r="T21" s="34">
        <v>203631</v>
      </c>
      <c r="U21" s="34">
        <v>203609</v>
      </c>
    </row>
    <row r="22" spans="1:21" x14ac:dyDescent="0.2">
      <c r="A22" s="87" t="s">
        <v>69</v>
      </c>
      <c r="B22" s="91">
        <v>21203</v>
      </c>
      <c r="C22" s="91">
        <v>21070</v>
      </c>
      <c r="D22" s="91">
        <v>20671</v>
      </c>
      <c r="E22" s="91">
        <v>20213</v>
      </c>
      <c r="F22" s="91">
        <v>20894</v>
      </c>
      <c r="I22" s="30" t="s">
        <v>68</v>
      </c>
      <c r="J22" s="32"/>
      <c r="K22" s="32"/>
      <c r="M22" s="30" t="s">
        <v>68</v>
      </c>
      <c r="N22" s="32"/>
      <c r="O22" s="32"/>
      <c r="S22" s="30" t="s">
        <v>68</v>
      </c>
      <c r="T22" s="32"/>
      <c r="U22" s="32"/>
    </row>
    <row r="23" spans="1:21" x14ac:dyDescent="0.2">
      <c r="A23" s="87" t="s">
        <v>70</v>
      </c>
      <c r="B23" s="91">
        <v>6711</v>
      </c>
      <c r="C23" s="91">
        <v>6845</v>
      </c>
      <c r="D23" s="91">
        <v>4330</v>
      </c>
      <c r="E23" s="91">
        <v>3070</v>
      </c>
      <c r="F23" s="91">
        <v>5866</v>
      </c>
      <c r="I23" s="30" t="s">
        <v>69</v>
      </c>
      <c r="J23" s="34">
        <v>21070</v>
      </c>
      <c r="K23" s="34">
        <v>20671</v>
      </c>
      <c r="M23" s="30" t="s">
        <v>69</v>
      </c>
      <c r="N23" s="34">
        <v>20671</v>
      </c>
      <c r="O23" s="34">
        <v>20213</v>
      </c>
      <c r="S23" s="30" t="s">
        <v>69</v>
      </c>
      <c r="T23" s="34">
        <v>20213</v>
      </c>
      <c r="U23" s="34">
        <v>20894</v>
      </c>
    </row>
    <row r="24" spans="1:21" x14ac:dyDescent="0.2">
      <c r="A24" s="87" t="s">
        <v>71</v>
      </c>
      <c r="B24" s="91">
        <v>6248</v>
      </c>
      <c r="C24" s="91">
        <v>6684</v>
      </c>
      <c r="D24" s="91">
        <v>6138</v>
      </c>
      <c r="E24" s="91">
        <v>5790</v>
      </c>
      <c r="F24" s="91">
        <v>4317</v>
      </c>
      <c r="I24" s="30" t="s">
        <v>70</v>
      </c>
      <c r="J24" s="34">
        <v>6845</v>
      </c>
      <c r="K24" s="34">
        <v>4330</v>
      </c>
      <c r="M24" s="30" t="s">
        <v>70</v>
      </c>
      <c r="N24" s="34">
        <v>4330</v>
      </c>
      <c r="O24" s="34">
        <v>3070</v>
      </c>
      <c r="S24" s="30" t="s">
        <v>70</v>
      </c>
      <c r="T24" s="34">
        <v>3070</v>
      </c>
      <c r="U24" s="34">
        <v>5866</v>
      </c>
    </row>
    <row r="25" spans="1:21" x14ac:dyDescent="0.2">
      <c r="A25" s="87" t="s">
        <v>72</v>
      </c>
      <c r="B25" s="92">
        <v>34162</v>
      </c>
      <c r="C25" s="92">
        <v>34599</v>
      </c>
      <c r="D25" s="92">
        <v>31139</v>
      </c>
      <c r="E25" s="92">
        <v>29073</v>
      </c>
      <c r="F25" s="92">
        <v>31077</v>
      </c>
      <c r="I25" s="30" t="s">
        <v>71</v>
      </c>
      <c r="J25" s="34">
        <v>6684</v>
      </c>
      <c r="K25" s="34">
        <v>6138</v>
      </c>
      <c r="M25" s="30" t="s">
        <v>71</v>
      </c>
      <c r="N25" s="34">
        <v>6138</v>
      </c>
      <c r="O25" s="34">
        <v>5790</v>
      </c>
      <c r="S25" s="30" t="s">
        <v>71</v>
      </c>
      <c r="T25" s="34">
        <v>5790</v>
      </c>
      <c r="U25" s="34">
        <v>4317</v>
      </c>
    </row>
    <row r="26" spans="1:21" x14ac:dyDescent="0.2">
      <c r="A26" s="87" t="s">
        <v>73</v>
      </c>
      <c r="B26" s="91">
        <v>35315</v>
      </c>
      <c r="C26" s="91">
        <v>38970</v>
      </c>
      <c r="D26" s="91">
        <v>42101</v>
      </c>
      <c r="E26" s="91">
        <v>45299</v>
      </c>
      <c r="F26" s="91">
        <v>48540</v>
      </c>
      <c r="I26" s="30" t="s">
        <v>72</v>
      </c>
      <c r="J26" s="34">
        <v>34599</v>
      </c>
      <c r="K26" s="34">
        <v>31139</v>
      </c>
      <c r="M26" s="30" t="s">
        <v>72</v>
      </c>
      <c r="N26" s="34">
        <v>31139</v>
      </c>
      <c r="O26" s="34">
        <v>29073</v>
      </c>
      <c r="S26" s="30" t="s">
        <v>72</v>
      </c>
      <c r="T26" s="34">
        <v>29073</v>
      </c>
      <c r="U26" s="34">
        <v>31077</v>
      </c>
    </row>
    <row r="27" spans="1:21" x14ac:dyDescent="0.2">
      <c r="A27" s="87" t="s">
        <v>74</v>
      </c>
      <c r="B27" s="91">
        <v>3524</v>
      </c>
      <c r="C27" s="91">
        <v>6277</v>
      </c>
      <c r="D27" s="91">
        <v>7258</v>
      </c>
      <c r="E27" s="91">
        <v>8363</v>
      </c>
      <c r="F27" s="91">
        <v>7246</v>
      </c>
      <c r="I27" s="30" t="s">
        <v>73</v>
      </c>
      <c r="J27" s="34">
        <v>38970</v>
      </c>
      <c r="K27" s="34">
        <v>42101</v>
      </c>
      <c r="M27" s="30" t="s">
        <v>73</v>
      </c>
      <c r="N27" s="34">
        <v>42101</v>
      </c>
      <c r="O27" s="34">
        <v>45299</v>
      </c>
      <c r="S27" s="30" t="s">
        <v>73</v>
      </c>
      <c r="T27" s="34">
        <v>45299</v>
      </c>
      <c r="U27" s="34">
        <v>48540</v>
      </c>
    </row>
    <row r="28" spans="1:21" x14ac:dyDescent="0.2">
      <c r="A28" s="87" t="s">
        <v>75</v>
      </c>
      <c r="B28" s="91">
        <v>9901</v>
      </c>
      <c r="C28" s="91">
        <v>10851</v>
      </c>
      <c r="D28" s="91">
        <v>12069</v>
      </c>
      <c r="E28" s="91">
        <v>12518</v>
      </c>
      <c r="F28" s="91">
        <v>14522</v>
      </c>
      <c r="I28" s="30" t="s">
        <v>74</v>
      </c>
      <c r="J28" s="34">
        <v>6277</v>
      </c>
      <c r="K28" s="34">
        <v>7258</v>
      </c>
      <c r="M28" s="30" t="s">
        <v>74</v>
      </c>
      <c r="N28" s="34">
        <v>7258</v>
      </c>
      <c r="O28" s="34">
        <v>8363</v>
      </c>
      <c r="S28" s="30" t="s">
        <v>74</v>
      </c>
      <c r="T28" s="34">
        <v>8363</v>
      </c>
      <c r="U28" s="34">
        <v>7246</v>
      </c>
    </row>
    <row r="29" spans="1:21" x14ac:dyDescent="0.2">
      <c r="A29" s="87" t="s">
        <v>76</v>
      </c>
      <c r="B29" s="91"/>
      <c r="C29" s="91"/>
      <c r="D29" s="93"/>
      <c r="E29" s="91"/>
      <c r="F29" s="91"/>
      <c r="I29" s="30" t="s">
        <v>75</v>
      </c>
      <c r="J29" s="34">
        <v>10851</v>
      </c>
      <c r="K29" s="34">
        <v>12069</v>
      </c>
      <c r="M29" s="30" t="s">
        <v>75</v>
      </c>
      <c r="N29" s="34">
        <v>12069</v>
      </c>
      <c r="O29" s="34">
        <v>12518</v>
      </c>
      <c r="S29" s="30" t="s">
        <v>75</v>
      </c>
      <c r="T29" s="34">
        <v>12518</v>
      </c>
      <c r="U29" s="34">
        <v>14522</v>
      </c>
    </row>
    <row r="30" spans="1:21" x14ac:dyDescent="0.2">
      <c r="A30" s="87" t="s">
        <v>128</v>
      </c>
      <c r="B30" s="91">
        <v>0</v>
      </c>
      <c r="C30" s="91">
        <v>0</v>
      </c>
      <c r="D30" s="91">
        <v>9055</v>
      </c>
      <c r="E30" s="91">
        <v>9499</v>
      </c>
      <c r="F30" s="91">
        <v>9213</v>
      </c>
      <c r="I30" s="30" t="s">
        <v>76</v>
      </c>
      <c r="J30" s="32"/>
      <c r="K30" s="32"/>
      <c r="M30" s="30" t="s">
        <v>76</v>
      </c>
      <c r="N30" s="32"/>
      <c r="O30" s="32"/>
      <c r="S30" s="30" t="s">
        <v>76</v>
      </c>
      <c r="T30" s="32"/>
      <c r="U30" s="32"/>
    </row>
    <row r="31" spans="1:21" x14ac:dyDescent="0.2">
      <c r="A31" s="89" t="s">
        <v>77</v>
      </c>
      <c r="B31" s="91"/>
      <c r="C31" s="91"/>
      <c r="D31" s="91"/>
      <c r="E31" s="91"/>
      <c r="F31" s="91"/>
      <c r="I31" s="30" t="s">
        <v>128</v>
      </c>
      <c r="J31" s="32">
        <v>0</v>
      </c>
      <c r="K31" s="34">
        <v>9055</v>
      </c>
      <c r="M31" s="30" t="s">
        <v>128</v>
      </c>
      <c r="N31" s="34">
        <v>9055</v>
      </c>
      <c r="O31" s="34">
        <v>9499</v>
      </c>
      <c r="S31" s="30" t="s">
        <v>128</v>
      </c>
      <c r="T31" s="34">
        <v>9499</v>
      </c>
      <c r="U31" s="34">
        <v>9213</v>
      </c>
    </row>
    <row r="32" spans="1:21" x14ac:dyDescent="0.2">
      <c r="A32" s="87" t="s">
        <v>78</v>
      </c>
      <c r="B32" s="91">
        <v>0</v>
      </c>
      <c r="C32" s="91">
        <v>0</v>
      </c>
      <c r="D32" s="91">
        <v>0</v>
      </c>
      <c r="E32" s="91">
        <v>0</v>
      </c>
      <c r="F32" s="91">
        <v>0</v>
      </c>
      <c r="I32" s="30" t="s">
        <v>77</v>
      </c>
      <c r="J32" s="32"/>
      <c r="K32" s="32"/>
      <c r="M32" s="30" t="s">
        <v>77</v>
      </c>
      <c r="N32" s="32"/>
      <c r="O32" s="32"/>
      <c r="S32" s="30" t="s">
        <v>77</v>
      </c>
      <c r="T32" s="32"/>
      <c r="U32" s="32"/>
    </row>
    <row r="33" spans="1:21" x14ac:dyDescent="0.2">
      <c r="A33" s="87" t="s">
        <v>79</v>
      </c>
      <c r="B33" s="91">
        <v>59814</v>
      </c>
      <c r="C33" s="91">
        <v>58592</v>
      </c>
      <c r="D33" s="91">
        <v>57383</v>
      </c>
      <c r="E33" s="91">
        <v>56398</v>
      </c>
      <c r="F33" s="91">
        <v>55471</v>
      </c>
      <c r="I33" s="30" t="s">
        <v>78</v>
      </c>
      <c r="J33" s="32">
        <v>0</v>
      </c>
      <c r="K33" s="32">
        <v>0</v>
      </c>
      <c r="M33" s="30" t="s">
        <v>78</v>
      </c>
      <c r="N33" s="32">
        <v>0</v>
      </c>
      <c r="O33" s="32">
        <v>0</v>
      </c>
      <c r="S33" s="30" t="s">
        <v>78</v>
      </c>
      <c r="T33" s="32">
        <v>0</v>
      </c>
      <c r="U33" s="32">
        <v>0</v>
      </c>
    </row>
    <row r="34" spans="1:21" x14ac:dyDescent="0.2">
      <c r="A34" s="87" t="s">
        <v>80</v>
      </c>
      <c r="B34" s="91">
        <v>60410</v>
      </c>
      <c r="C34" s="91">
        <v>49722</v>
      </c>
      <c r="D34" s="91">
        <v>46093</v>
      </c>
      <c r="E34" s="91">
        <v>43636</v>
      </c>
      <c r="F34" s="91">
        <v>40429</v>
      </c>
      <c r="I34" s="30" t="s">
        <v>129</v>
      </c>
      <c r="J34" s="34">
        <v>58592</v>
      </c>
      <c r="K34" s="34">
        <v>57383</v>
      </c>
      <c r="M34" s="30" t="s">
        <v>133</v>
      </c>
      <c r="N34" s="34">
        <v>57383</v>
      </c>
      <c r="O34" s="34">
        <v>56398</v>
      </c>
      <c r="S34" s="30" t="s">
        <v>133</v>
      </c>
      <c r="T34" s="34">
        <v>56398</v>
      </c>
      <c r="U34" s="34">
        <v>55471</v>
      </c>
    </row>
    <row r="35" spans="1:21" x14ac:dyDescent="0.2">
      <c r="A35" s="87" t="s">
        <v>81</v>
      </c>
      <c r="B35" s="91">
        <v>-2914</v>
      </c>
      <c r="C35" s="91">
        <v>-3699</v>
      </c>
      <c r="D35" s="91">
        <v>-3292</v>
      </c>
      <c r="E35" s="91">
        <v>-4119</v>
      </c>
      <c r="F35" s="91">
        <v>-6440</v>
      </c>
      <c r="I35" s="30" t="s">
        <v>80</v>
      </c>
      <c r="J35" s="34">
        <v>49722</v>
      </c>
      <c r="K35" s="34">
        <v>46093</v>
      </c>
      <c r="M35" s="30" t="s">
        <v>80</v>
      </c>
      <c r="N35" s="34">
        <v>46093</v>
      </c>
      <c r="O35" s="34">
        <v>43636</v>
      </c>
      <c r="S35" s="30" t="s">
        <v>80</v>
      </c>
      <c r="T35" s="34">
        <v>43636</v>
      </c>
      <c r="U35" s="34">
        <v>40429</v>
      </c>
    </row>
    <row r="36" spans="1:21" x14ac:dyDescent="0.2">
      <c r="A36" s="87" t="s">
        <v>82</v>
      </c>
      <c r="B36" s="91">
        <v>-7441</v>
      </c>
      <c r="C36" s="91">
        <v>-3919</v>
      </c>
      <c r="D36" s="91">
        <v>-907</v>
      </c>
      <c r="E36" s="91">
        <v>-907</v>
      </c>
      <c r="F36" s="91">
        <v>-907</v>
      </c>
      <c r="I36" s="30" t="s">
        <v>81</v>
      </c>
      <c r="J36" s="34">
        <v>-3699</v>
      </c>
      <c r="K36" s="34">
        <v>-3292</v>
      </c>
      <c r="M36" s="30" t="s">
        <v>81</v>
      </c>
      <c r="N36" s="34">
        <v>-3292</v>
      </c>
      <c r="O36" s="34">
        <v>-4119</v>
      </c>
      <c r="S36" s="30" t="s">
        <v>81</v>
      </c>
      <c r="T36" s="34">
        <v>-4119</v>
      </c>
      <c r="U36" s="34">
        <v>-6440</v>
      </c>
    </row>
    <row r="37" spans="1:21" x14ac:dyDescent="0.2">
      <c r="A37" s="87" t="s">
        <v>83</v>
      </c>
      <c r="B37" s="92">
        <v>109869</v>
      </c>
      <c r="C37" s="92">
        <v>100696</v>
      </c>
      <c r="D37" s="92">
        <v>99277</v>
      </c>
      <c r="E37" s="92">
        <v>95008</v>
      </c>
      <c r="F37" s="92">
        <v>88553</v>
      </c>
      <c r="I37" s="30" t="s">
        <v>130</v>
      </c>
      <c r="J37" s="34">
        <v>-3919</v>
      </c>
      <c r="K37" s="32">
        <v>-907</v>
      </c>
      <c r="M37" s="30" t="s">
        <v>134</v>
      </c>
      <c r="N37" s="32">
        <v>-907</v>
      </c>
      <c r="O37" s="32">
        <v>-907</v>
      </c>
      <c r="S37" s="30" t="s">
        <v>134</v>
      </c>
      <c r="T37" s="32">
        <v>-907</v>
      </c>
      <c r="U37" s="32">
        <v>-907</v>
      </c>
    </row>
    <row r="38" spans="1:21" x14ac:dyDescent="0.2">
      <c r="A38" s="87" t="s">
        <v>84</v>
      </c>
      <c r="B38" s="91">
        <v>4743</v>
      </c>
      <c r="C38" s="91">
        <v>4826</v>
      </c>
      <c r="D38" s="91">
        <v>4680</v>
      </c>
      <c r="E38" s="91">
        <v>3871</v>
      </c>
      <c r="F38" s="91">
        <v>4458</v>
      </c>
      <c r="I38" s="30" t="s">
        <v>83</v>
      </c>
      <c r="J38" s="34">
        <v>100696</v>
      </c>
      <c r="K38" s="34">
        <v>99277</v>
      </c>
      <c r="M38" s="30" t="s">
        <v>83</v>
      </c>
      <c r="N38" s="34">
        <v>99277</v>
      </c>
      <c r="O38" s="34">
        <v>95008</v>
      </c>
      <c r="S38" s="30" t="s">
        <v>83</v>
      </c>
      <c r="T38" s="34">
        <v>95008</v>
      </c>
      <c r="U38" s="34">
        <v>88553</v>
      </c>
    </row>
    <row r="39" spans="1:21" x14ac:dyDescent="0.2">
      <c r="A39" s="87" t="s">
        <v>85</v>
      </c>
      <c r="B39" s="92">
        <v>114612</v>
      </c>
      <c r="C39" s="92">
        <v>105522</v>
      </c>
      <c r="D39" s="92">
        <v>103957</v>
      </c>
      <c r="E39" s="92">
        <v>98879</v>
      </c>
      <c r="F39" s="92">
        <v>93011</v>
      </c>
      <c r="I39" s="30" t="s">
        <v>84</v>
      </c>
      <c r="J39" s="34">
        <v>4826</v>
      </c>
      <c r="K39" s="34">
        <v>4680</v>
      </c>
      <c r="M39" s="30" t="s">
        <v>84</v>
      </c>
      <c r="N39" s="34">
        <v>4680</v>
      </c>
      <c r="O39" s="34">
        <v>3871</v>
      </c>
      <c r="S39" s="30" t="s">
        <v>84</v>
      </c>
      <c r="T39" s="34">
        <v>3871</v>
      </c>
      <c r="U39" s="34">
        <v>4458</v>
      </c>
    </row>
    <row r="40" spans="1:21" x14ac:dyDescent="0.2">
      <c r="A40" s="87" t="s">
        <v>86</v>
      </c>
      <c r="B40" s="33">
        <v>197514</v>
      </c>
      <c r="C40" s="33">
        <v>196219</v>
      </c>
      <c r="D40" s="33">
        <v>205579</v>
      </c>
      <c r="E40" s="33">
        <v>203631</v>
      </c>
      <c r="F40" s="33">
        <v>203609</v>
      </c>
      <c r="I40" s="30" t="s">
        <v>85</v>
      </c>
      <c r="J40" s="34">
        <v>105522</v>
      </c>
      <c r="K40" s="34">
        <v>103957</v>
      </c>
      <c r="M40" s="30" t="s">
        <v>85</v>
      </c>
      <c r="N40" s="34">
        <v>103957</v>
      </c>
      <c r="O40" s="34">
        <v>98879</v>
      </c>
      <c r="S40" s="30" t="s">
        <v>85</v>
      </c>
      <c r="T40" s="34">
        <v>98879</v>
      </c>
      <c r="U40" s="34">
        <v>93011</v>
      </c>
    </row>
    <row r="41" spans="1:21" x14ac:dyDescent="0.2">
      <c r="I41" s="30" t="s">
        <v>86</v>
      </c>
      <c r="J41" s="33">
        <v>196219</v>
      </c>
      <c r="K41" s="33">
        <v>205579</v>
      </c>
      <c r="M41" s="30" t="s">
        <v>86</v>
      </c>
      <c r="N41" s="33">
        <v>205579</v>
      </c>
      <c r="O41" s="33">
        <v>203631</v>
      </c>
      <c r="S41" s="30" t="s">
        <v>86</v>
      </c>
      <c r="T41" s="33">
        <v>203631</v>
      </c>
      <c r="U41" s="33">
        <v>203609</v>
      </c>
    </row>
    <row r="42" spans="1:21" x14ac:dyDescent="0.2">
      <c r="A42" s="67"/>
      <c r="B42" s="67"/>
      <c r="C42" s="67"/>
    </row>
    <row r="43" spans="1:21" x14ac:dyDescent="0.2">
      <c r="A43" s="67"/>
      <c r="B43" s="67"/>
      <c r="C43" s="67"/>
    </row>
  </sheetData>
  <hyperlinks>
    <hyperlink ref="A2" r:id="rId1" display="javascript:void(0);" xr:uid="{026EE0E2-0E46-DB40-90E5-C7489D330151}"/>
    <hyperlink ref="A3" r:id="rId2" display="javascript:void(0);" xr:uid="{AD11F76F-CB22-EF4B-9794-C1AE05C086F0}"/>
    <hyperlink ref="A4" r:id="rId3" display="javascript:void(0);" xr:uid="{AAD597D9-C5F4-2A4E-9D4D-9F2FEB46E2B2}"/>
    <hyperlink ref="A5" r:id="rId4" display="javascript:void(0);" xr:uid="{95D21BE3-3278-0E43-A1C2-8F8239698F80}"/>
    <hyperlink ref="A6" r:id="rId5" display="javascript:void(0);" xr:uid="{23B1902A-FFC3-6D40-BE97-442AB8CD0FAD}"/>
    <hyperlink ref="A7" r:id="rId6" display="javascript:void(0);" xr:uid="{9BC03C6A-A52C-5B45-8883-3100373FFA21}"/>
    <hyperlink ref="A8" r:id="rId7" display="javascript:void(0);" xr:uid="{8B580229-08B8-F642-A25B-F9BC988C67AD}"/>
    <hyperlink ref="A9" r:id="rId8" display="javascript:void(0);" xr:uid="{CF9E2B59-5DBD-C64F-AF35-1170B5899685}"/>
    <hyperlink ref="A10" r:id="rId9" display="javascript:void(0);" xr:uid="{BD2C9F7F-52B1-1A41-871B-7616E0266308}"/>
    <hyperlink ref="A11" r:id="rId10" display="javascript:void(0);" xr:uid="{F3E9E8A4-7F35-204F-BC10-645D027F6CAC}"/>
    <hyperlink ref="A12" r:id="rId11" display="javascript:void(0);" xr:uid="{07DFF90F-3F78-7348-A809-289433709636}"/>
    <hyperlink ref="A13" r:id="rId12" display="javascript:void(0);" xr:uid="{4A9266A8-E3E0-1D42-8FE8-AA61F61847EC}"/>
    <hyperlink ref="A14" r:id="rId13" display="javascript:void(0);" xr:uid="{0B04A67D-23A7-7649-B491-DF2DADFF78E5}"/>
    <hyperlink ref="A15" r:id="rId14" display="javascript:void(0);" xr:uid="{7BE96FE2-B740-664E-8152-A6F5377983F4}"/>
    <hyperlink ref="A16" r:id="rId15" display="javascript:void(0);" xr:uid="{BBC5C330-951D-C641-91B0-255E8D976862}"/>
    <hyperlink ref="A17" r:id="rId16" display="javascript:void(0);" xr:uid="{E5B18835-087F-4243-9DE0-CA82484ACE5A}"/>
    <hyperlink ref="A18" r:id="rId17" display="javascript:void(0);" xr:uid="{006DCB66-9422-F143-B064-91D8B5EEFC8C}"/>
    <hyperlink ref="A19" r:id="rId18" display="javascript:void(0);" xr:uid="{6FE5966D-7534-3344-A0BE-DC7F1B8FE704}"/>
    <hyperlink ref="A20" r:id="rId19" display="javascript:void(0);" xr:uid="{2400814E-3A25-9848-A4E5-18623443D1FB}"/>
    <hyperlink ref="A21" r:id="rId20" display="javascript:void(0);" xr:uid="{1319E0F2-A294-3841-9615-01E7BDC32D1A}"/>
    <hyperlink ref="A22" r:id="rId21" display="javascript:void(0);" xr:uid="{9F6B4994-20CB-9548-8642-72D5ECE4ED66}"/>
    <hyperlink ref="A23" r:id="rId22" display="javascript:void(0);" xr:uid="{F4819D97-15EE-6D41-A194-F2655F30D451}"/>
    <hyperlink ref="A24" r:id="rId23" display="javascript:void(0);" xr:uid="{3139E52F-40A4-244E-9E70-EB9D1F3D8640}"/>
    <hyperlink ref="A25" r:id="rId24" display="javascript:void(0);" xr:uid="{6C334003-43A5-7B40-9410-29C6A5C15994}"/>
    <hyperlink ref="A26" r:id="rId25" display="javascript:void(0);" xr:uid="{BFB9C3B6-80A8-EF47-8E34-2897591BE035}"/>
    <hyperlink ref="A27" r:id="rId26" display="javascript:void(0);" xr:uid="{3ED15770-AC12-344D-85D5-DF5A5D474265}"/>
    <hyperlink ref="A28" r:id="rId27" display="javascript:void(0);" xr:uid="{62C2EAF7-6B5E-0A4B-B4F4-988A3FA26DD2}"/>
    <hyperlink ref="A29" r:id="rId28" display="javascript:void(0);" xr:uid="{46E5D160-0D4E-5B4A-BBA7-895D2BB4EABF}"/>
    <hyperlink ref="A31" r:id="rId29" display="javascript:void(0);" xr:uid="{3427260B-ACFC-4641-88D8-7C1650BF5380}"/>
    <hyperlink ref="A32" r:id="rId30" display="javascript:void(0);" xr:uid="{7AD1859D-E76C-C647-8B90-5A6BCBF3F3C7}"/>
    <hyperlink ref="A33" r:id="rId31" display="javascript:void(0);" xr:uid="{96C98422-B4B0-6043-A4A6-03D8E1D33702}"/>
    <hyperlink ref="A34" r:id="rId32" display="javascript:void(0);" xr:uid="{BC1997FC-8807-A54F-B651-D97756DD1808}"/>
    <hyperlink ref="A35" r:id="rId33" display="javascript:void(0);" xr:uid="{9EF01FA2-0A30-7045-A9BA-49B36A1E4AD4}"/>
    <hyperlink ref="A36" r:id="rId34" display="javascript:void(0);" xr:uid="{98645926-D2E9-4941-A603-E89BF7A6F9F3}"/>
    <hyperlink ref="A37" r:id="rId35" display="javascript:void(0);" xr:uid="{2C56699B-B25C-3E4A-873C-40A05A985B2D}"/>
    <hyperlink ref="A38" r:id="rId36" display="javascript:void(0);" xr:uid="{32FFB781-ADD5-A146-A8CF-AF38C1F68E05}"/>
    <hyperlink ref="A39" r:id="rId37" display="javascript:void(0);" xr:uid="{A94060A6-434B-D24E-B848-4358F6986498}"/>
    <hyperlink ref="A40" r:id="rId38" display="javascript:void(0);" xr:uid="{87CA0319-310B-9648-8EE6-8D154AD653F7}"/>
    <hyperlink ref="I3" r:id="rId39" display="javascript:void(0);" xr:uid="{5D94CED0-B013-9842-9271-E99F7E1B054E}"/>
    <hyperlink ref="I4" r:id="rId40" display="javascript:void(0);" xr:uid="{1B80C70F-8213-574B-973C-A5D3C8899915}"/>
    <hyperlink ref="I5" r:id="rId41" display="javascript:void(0);" xr:uid="{9528975C-8978-264D-B31F-374366542536}"/>
    <hyperlink ref="I6" r:id="rId42" display="javascript:void(0);" xr:uid="{2B0F27D3-349C-574D-8B0F-1F75174B8010}"/>
    <hyperlink ref="I7" r:id="rId43" display="javascript:void(0);" xr:uid="{86174D61-0E3A-B049-B8A1-E1ED49419D07}"/>
    <hyperlink ref="I8" r:id="rId44" display="javascript:void(0);" xr:uid="{FBFFA246-5A65-4248-A7DE-25B13C69A352}"/>
    <hyperlink ref="I9" r:id="rId45" display="javascript:void(0);" xr:uid="{B57A1CAE-679F-B541-BE48-E8C338B1AE17}"/>
    <hyperlink ref="I10" r:id="rId46" display="javascript:void(0);" xr:uid="{097A8361-4B90-CD49-A09E-0A2CDD09BD38}"/>
    <hyperlink ref="I11" r:id="rId47" display="javascript:void(0);" xr:uid="{C4AEC747-353A-994F-86BF-31B086140967}"/>
    <hyperlink ref="I12" r:id="rId48" display="javascript:void(0);" xr:uid="{270EB0FD-4603-5F4E-BCAF-F92B7C154007}"/>
    <hyperlink ref="I13" r:id="rId49" display="javascript:void(0);" xr:uid="{B15C18F9-6C65-4843-BBAB-B2ED53137DF7}"/>
    <hyperlink ref="I14" r:id="rId50" display="javascript:void(0);" xr:uid="{42498402-1A79-5342-8FF4-67448B5DD004}"/>
    <hyperlink ref="I15" r:id="rId51" display="javascript:void(0);" xr:uid="{8A07AEBB-8686-3942-A392-3BE38A958A4E}"/>
    <hyperlink ref="I16" r:id="rId52" display="javascript:void(0);" xr:uid="{ECF27A6D-F895-1B4C-B59B-B1AFDB32DC26}"/>
    <hyperlink ref="I17" r:id="rId53" display="javascript:void(0);" xr:uid="{21B6B962-26AA-344D-8E59-B1BCE0087A8B}"/>
    <hyperlink ref="I18" r:id="rId54" display="javascript:void(0);" xr:uid="{9F6A8751-7C90-3841-A67E-B846F1FB2DB5}"/>
    <hyperlink ref="I19" r:id="rId55" display="javascript:void(0);" xr:uid="{04F641BA-2219-914C-8FD8-99C5A5EC2ED8}"/>
    <hyperlink ref="I20" r:id="rId56" display="javascript:void(0);" xr:uid="{EC9A9C4E-AE13-8042-988A-DCC97BF63007}"/>
    <hyperlink ref="I21" r:id="rId57" display="javascript:void(0);" xr:uid="{80408FE5-CCFA-8249-B3AE-0876665EACFB}"/>
    <hyperlink ref="I22" r:id="rId58" display="javascript:void(0);" xr:uid="{BF95B537-84E6-734C-9EAF-B7209FB80980}"/>
    <hyperlink ref="I23" r:id="rId59" display="javascript:void(0);" xr:uid="{57339152-9324-CA47-AFC9-3E31D911F64A}"/>
    <hyperlink ref="I24" r:id="rId60" display="javascript:void(0);" xr:uid="{321B8F4F-2ACB-0240-8279-FF430B7FFD34}"/>
    <hyperlink ref="I25" r:id="rId61" display="javascript:void(0);" xr:uid="{12405CDD-EC97-6644-A6C9-D395DCB540CC}"/>
    <hyperlink ref="I26" r:id="rId62" display="javascript:void(0);" xr:uid="{B48F774A-4B02-694F-9E00-24198CFC0428}"/>
    <hyperlink ref="I27" r:id="rId63" display="javascript:void(0);" xr:uid="{5BC45D8D-FACF-D345-9C4C-B1E6F2AE8DC7}"/>
    <hyperlink ref="I28" r:id="rId64" display="javascript:void(0);" xr:uid="{63A70798-79F9-434B-802E-AE00B2B1667B}"/>
    <hyperlink ref="I29" r:id="rId65" display="javascript:void(0);" xr:uid="{1952D311-BC4B-054F-80E4-FD6288C9FF5C}"/>
    <hyperlink ref="I30" r:id="rId66" display="javascript:void(0);" xr:uid="{9464B401-4DE2-8944-B748-95A808A0EAD3}"/>
    <hyperlink ref="I31" r:id="rId67" display="javascript:void(0);" xr:uid="{EDC7E95E-CB04-714D-BD60-5F917F40D7C2}"/>
    <hyperlink ref="I32" r:id="rId68" display="javascript:void(0);" xr:uid="{55B20BB3-ED7F-3341-982E-B2BE0F043A01}"/>
    <hyperlink ref="I33" r:id="rId69" display="javascript:void(0);" xr:uid="{E2CF5326-C724-694F-B3F2-DB8BF23D6131}"/>
    <hyperlink ref="I34" r:id="rId70" display="javascript:void(0);" xr:uid="{6C22B9B4-DF8A-504F-94CF-B591817ADCEC}"/>
    <hyperlink ref="I35" r:id="rId71" display="javascript:void(0);" xr:uid="{C9BAB5EB-93E7-4040-8EE8-97BDEC6B3836}"/>
    <hyperlink ref="I36" r:id="rId72" display="javascript:void(0);" xr:uid="{D8ADF8DF-C33C-3645-9528-9C1940F236CD}"/>
    <hyperlink ref="I37" r:id="rId73" display="javascript:void(0);" xr:uid="{EA724EB3-CFF7-4843-B037-243CEC6F3682}"/>
    <hyperlink ref="I38" r:id="rId74" display="javascript:void(0);" xr:uid="{61983F57-BE77-8243-AE76-25F2D0B426CD}"/>
    <hyperlink ref="I39" r:id="rId75" display="javascript:void(0);" xr:uid="{5276EB73-900C-9343-8380-93A1AABAD9ED}"/>
    <hyperlink ref="I40" r:id="rId76" display="javascript:void(0);" xr:uid="{1202C08F-1228-6E46-8B10-9C477707CC6C}"/>
    <hyperlink ref="I41" r:id="rId77" display="javascript:void(0);" xr:uid="{8118585C-9042-4747-910D-20BE791ADE78}"/>
    <hyperlink ref="M3" r:id="rId78" display="javascript:void(0);" xr:uid="{31399B26-C9C8-214F-8C04-8A77E565E862}"/>
    <hyperlink ref="M4" r:id="rId79" display="javascript:void(0);" xr:uid="{7DE44938-7E43-5A40-AEDD-73D29CEF759D}"/>
    <hyperlink ref="M5" r:id="rId80" display="javascript:void(0);" xr:uid="{93AE700D-F39C-444E-8E15-A14F0F84FF37}"/>
    <hyperlink ref="M6" r:id="rId81" display="javascript:void(0);" xr:uid="{0F7D32D9-9B47-FA4C-A82A-1C27C9C38A9C}"/>
    <hyperlink ref="M7" r:id="rId82" display="javascript:void(0);" xr:uid="{286C78A0-EB2B-A74B-97E4-3E6F59AD2BF1}"/>
    <hyperlink ref="M8" r:id="rId83" display="javascript:void(0);" xr:uid="{202EE095-2F35-A648-94D2-828DEF5C3462}"/>
    <hyperlink ref="M9" r:id="rId84" display="javascript:void(0);" xr:uid="{12308B98-806A-B14B-9274-0C9878D54BDB}"/>
    <hyperlink ref="M10" r:id="rId85" display="javascript:void(0);" xr:uid="{D1AA00EB-286C-B04F-AE2E-890431B594DD}"/>
    <hyperlink ref="M11" r:id="rId86" display="javascript:void(0);" xr:uid="{6F3C57B8-2A18-FD45-91CD-FC9B1CF64420}"/>
    <hyperlink ref="M12" r:id="rId87" display="javascript:void(0);" xr:uid="{10116C32-A2EA-E64D-A032-1BBBBD0C3F45}"/>
    <hyperlink ref="M13" r:id="rId88" display="javascript:void(0);" xr:uid="{6C3E42FB-5A29-FD4A-8E14-D88564B1F81D}"/>
    <hyperlink ref="M14" r:id="rId89" display="javascript:void(0);" xr:uid="{25BEBDD1-ADD1-004A-8C09-B8B7E4ABF938}"/>
    <hyperlink ref="M15" r:id="rId90" display="javascript:void(0);" xr:uid="{3B4BF752-1F1B-5D48-B7F6-A58ECCD557E7}"/>
    <hyperlink ref="M16" r:id="rId91" display="javascript:void(0);" xr:uid="{3F39A4DE-AD45-DA4C-B671-9C2A10AFF82A}"/>
    <hyperlink ref="M17" r:id="rId92" display="javascript:void(0);" xr:uid="{98817AF6-A78C-B344-85C7-5078A14B0243}"/>
    <hyperlink ref="M18" r:id="rId93" display="javascript:void(0);" xr:uid="{0C7E3FBD-C5E6-3448-81FA-83374B5CCB72}"/>
    <hyperlink ref="M19" r:id="rId94" display="javascript:void(0);" xr:uid="{ECB31D99-BA9F-FD48-9960-69A023B6884F}"/>
    <hyperlink ref="M20" r:id="rId95" display="javascript:void(0);" xr:uid="{B097DCDC-06E9-494F-A01D-0277AC5C987E}"/>
    <hyperlink ref="M21" r:id="rId96" display="javascript:void(0);" xr:uid="{F3FA0D3D-1BCC-B04E-98F8-11D1A6C7112D}"/>
    <hyperlink ref="M22" r:id="rId97" display="javascript:void(0);" xr:uid="{C8EBE5FE-2258-2548-BE17-47A10BF4FCD5}"/>
    <hyperlink ref="M23" r:id="rId98" display="javascript:void(0);" xr:uid="{7DF68054-7856-0246-9CBF-8EB0E1032725}"/>
    <hyperlink ref="M24" r:id="rId99" display="javascript:void(0);" xr:uid="{52935301-FA9D-554F-B861-ABE7BA769928}"/>
    <hyperlink ref="M25" r:id="rId100" display="javascript:void(0);" xr:uid="{029D318D-9AA8-E44C-9478-DECC973382AE}"/>
    <hyperlink ref="M26" r:id="rId101" display="javascript:void(0);" xr:uid="{94D8636A-B90E-C341-81AA-470B822B9B61}"/>
    <hyperlink ref="M27" r:id="rId102" display="javascript:void(0);" xr:uid="{AEBFEA7C-88F9-3943-BBD2-11961812C379}"/>
    <hyperlink ref="M28" r:id="rId103" display="javascript:void(0);" xr:uid="{0913B615-F734-6C47-A649-B9501C7CFC01}"/>
    <hyperlink ref="M29" r:id="rId104" display="javascript:void(0);" xr:uid="{9185FB7C-D661-864C-9B4C-B1047F6B3A21}"/>
    <hyperlink ref="M30" r:id="rId105" display="javascript:void(0);" xr:uid="{BC03456D-8AD5-164B-A4A6-D0EBB1E3BF03}"/>
    <hyperlink ref="M31" r:id="rId106" display="javascript:void(0);" xr:uid="{6A166399-B3C6-4B43-AE36-34D98A065325}"/>
    <hyperlink ref="M32" r:id="rId107" display="javascript:void(0);" xr:uid="{ACDC2E72-7760-AE43-B6B3-1B06C0681DAB}"/>
    <hyperlink ref="M33" r:id="rId108" display="javascript:void(0);" xr:uid="{127C4A6D-3045-E442-BE12-FA048FF5F78D}"/>
    <hyperlink ref="M34" r:id="rId109" display="javascript:void(0);" xr:uid="{589B790A-0B4D-D84C-AC84-38655825F2FD}"/>
    <hyperlink ref="M35" r:id="rId110" display="javascript:void(0);" xr:uid="{8E70F4DA-A4ED-6F42-A45B-19B01A33EC78}"/>
    <hyperlink ref="M36" r:id="rId111" display="javascript:void(0);" xr:uid="{CB59BC82-9061-2341-8C19-D7B3FBD76C16}"/>
    <hyperlink ref="M37" r:id="rId112" display="javascript:void(0);" xr:uid="{31BD62C0-E558-0941-87AB-8D3C588D6BCF}"/>
    <hyperlink ref="M38" r:id="rId113" display="javascript:void(0);" xr:uid="{3C31E291-1D39-464D-9E6D-A7351C02C73B}"/>
    <hyperlink ref="M39" r:id="rId114" display="javascript:void(0);" xr:uid="{784BF4E4-0050-1546-8059-EB5331C6D2DF}"/>
    <hyperlink ref="M40" r:id="rId115" display="javascript:void(0);" xr:uid="{BE39EA4F-4A6C-5040-A184-FBE3B964642A}"/>
    <hyperlink ref="M41" r:id="rId116" display="javascript:void(0);" xr:uid="{F2483136-3A9B-5146-A106-8D0706D45356}"/>
    <hyperlink ref="S3" r:id="rId117" display="javascript:void(0);" xr:uid="{34F97A2A-4CBA-1F4C-9446-C4CAAC9A9CDC}"/>
    <hyperlink ref="S4" r:id="rId118" display="javascript:void(0);" xr:uid="{87BBA9E9-A65B-8341-9F01-ACF22E84471A}"/>
    <hyperlink ref="S5" r:id="rId119" display="javascript:void(0);" xr:uid="{4502C09B-693B-4B43-A7E4-F82F6791FC81}"/>
    <hyperlink ref="S6" r:id="rId120" display="javascript:void(0);" xr:uid="{7D020D30-704A-1F49-BDCC-B13A616D5DAA}"/>
    <hyperlink ref="S7" r:id="rId121" display="javascript:void(0);" xr:uid="{7FC976C0-9609-9242-8B82-6137D3308AA4}"/>
    <hyperlink ref="S8" r:id="rId122" display="javascript:void(0);" xr:uid="{53C98618-2A9F-2C4E-9AA7-72E552D8BAAD}"/>
    <hyperlink ref="S9" r:id="rId123" display="javascript:void(0);" xr:uid="{089426B7-A4FB-9945-B7E0-9D287E4D61C0}"/>
    <hyperlink ref="S10" r:id="rId124" display="javascript:void(0);" xr:uid="{A2580D8C-282C-D147-A66F-19D06F90C9BA}"/>
    <hyperlink ref="S11" r:id="rId125" display="javascript:void(0);" xr:uid="{C003C209-F76F-B54C-AA8F-500B189FAA94}"/>
    <hyperlink ref="S12" r:id="rId126" display="javascript:void(0);" xr:uid="{0C965F54-F268-B44C-B021-4187E9850D81}"/>
    <hyperlink ref="S13" r:id="rId127" display="javascript:void(0);" xr:uid="{E14D0BD6-B0D5-C649-888E-636B1EEB499B}"/>
    <hyperlink ref="S14" r:id="rId128" display="javascript:void(0);" xr:uid="{D733E599-21B5-0647-AD0D-7DBD9FB9B140}"/>
    <hyperlink ref="S15" r:id="rId129" display="javascript:void(0);" xr:uid="{AC11B7C4-4D40-3448-9F20-72295E1EB0A0}"/>
    <hyperlink ref="S16" r:id="rId130" display="javascript:void(0);" xr:uid="{F7D40D56-DE0A-E541-AAF8-695179EA7CE1}"/>
    <hyperlink ref="S17" r:id="rId131" display="javascript:void(0);" xr:uid="{E2B44159-82AC-8445-9822-199A4DF64F4B}"/>
    <hyperlink ref="S18" r:id="rId132" display="javascript:void(0);" xr:uid="{43910762-9EB2-C642-814B-0B20DC8F43E6}"/>
    <hyperlink ref="S19" r:id="rId133" display="javascript:void(0);" xr:uid="{24CAD79E-D1E5-C349-A78A-35441A97A4A3}"/>
    <hyperlink ref="S20" r:id="rId134" display="javascript:void(0);" xr:uid="{C89CDA8D-0DC7-5547-9194-8314D31A53CF}"/>
    <hyperlink ref="S21" r:id="rId135" display="javascript:void(0);" xr:uid="{AD229FFB-2470-3F4A-ADD5-101B64D24D59}"/>
    <hyperlink ref="S22" r:id="rId136" display="javascript:void(0);" xr:uid="{C0033CA2-E8E2-4F47-9672-C02C1581E248}"/>
    <hyperlink ref="S23" r:id="rId137" display="javascript:void(0);" xr:uid="{68E6B16C-7E78-3E49-A738-89F3636F5C00}"/>
    <hyperlink ref="S24" r:id="rId138" display="javascript:void(0);" xr:uid="{BDBF0306-2E54-994B-AC6D-1B4638734361}"/>
    <hyperlink ref="S25" r:id="rId139" display="javascript:void(0);" xr:uid="{1273AB1D-EA2B-0C4F-9A09-2A2FCCE15411}"/>
    <hyperlink ref="S26" r:id="rId140" display="javascript:void(0);" xr:uid="{70517F00-21C7-0B42-86C3-93F0968E641C}"/>
    <hyperlink ref="S27" r:id="rId141" display="javascript:void(0);" xr:uid="{10D5D384-F04A-CB48-B4AE-0FED338BFED9}"/>
    <hyperlink ref="S28" r:id="rId142" display="javascript:void(0);" xr:uid="{ABC124E8-B92B-FC49-863D-4DC09CDD7766}"/>
    <hyperlink ref="S29" r:id="rId143" display="javascript:void(0);" xr:uid="{FA1D1B69-874F-9048-89EF-3A9450904376}"/>
    <hyperlink ref="S30" r:id="rId144" display="javascript:void(0);" xr:uid="{E47BBF19-A71D-1F47-9351-E34C371F6242}"/>
    <hyperlink ref="S31" r:id="rId145" display="javascript:void(0);" xr:uid="{28E098AF-6B41-034C-AC9E-206CA4F1700F}"/>
    <hyperlink ref="S32" r:id="rId146" display="javascript:void(0);" xr:uid="{D45F10F0-5C2F-3B4A-A65A-F5D81109ECB6}"/>
    <hyperlink ref="S33" r:id="rId147" display="javascript:void(0);" xr:uid="{D558E9FD-1E19-D348-A5CF-45A258468600}"/>
    <hyperlink ref="S34" r:id="rId148" display="javascript:void(0);" xr:uid="{B74CF6A8-469C-F54B-BEF9-94B0E32C70BC}"/>
    <hyperlink ref="S35" r:id="rId149" display="javascript:void(0);" xr:uid="{D2DAD1E5-8CE0-F24F-81C2-C1497A2C8054}"/>
    <hyperlink ref="S36" r:id="rId150" display="javascript:void(0);" xr:uid="{52B72902-CE6B-334A-AF99-4F7C27442258}"/>
    <hyperlink ref="S37" r:id="rId151" display="javascript:void(0);" xr:uid="{01DA401D-7EE8-ED41-BFC9-474C2F08E86B}"/>
    <hyperlink ref="S38" r:id="rId152" display="javascript:void(0);" xr:uid="{B56FDC8D-4E6B-F34E-A73D-F79A3B19AAD4}"/>
    <hyperlink ref="S39" r:id="rId153" display="javascript:void(0);" xr:uid="{8ED2FE1E-46CB-3548-A230-47EE7FA932CB}"/>
    <hyperlink ref="S40" r:id="rId154" display="javascript:void(0);" xr:uid="{F687B9B7-77B8-0446-A4BD-112453ECAD5D}"/>
    <hyperlink ref="S41" r:id="rId155" display="javascript:void(0);" xr:uid="{5D7D9C95-4893-7046-AD81-4F6999672BCB}"/>
    <hyperlink ref="A30" r:id="rId156" display="javascript:void(0);" xr:uid="{C5E51535-E7D0-DA4F-ADF0-6F605B1A0045}"/>
  </hyperlinks>
  <pageMargins left="0.7" right="0.7" top="0.75" bottom="0.75" header="0.3" footer="0.3"/>
  <pageSetup paperSize="9" orientation="portrait" horizontalDpi="0" verticalDpi="0"/>
  <tableParts count="1">
    <tablePart r:id="rId15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AE2FA-E047-F64B-827D-7593A29A08F2}">
  <dimension ref="A1"/>
  <sheetViews>
    <sheetView workbookViewId="0">
      <selection activeCell="D30" sqref="D30"/>
    </sheetView>
    <sheetView workbookViewId="1"/>
  </sheetViews>
  <sheetFormatPr baseColWidth="10" defaultRowHeight="16" x14ac:dyDescent="0.2"/>
  <sheetData/>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7AB0-855D-614F-A333-862E074E97A8}">
  <dimension ref="A1"/>
  <sheetViews>
    <sheetView workbookViewId="0">
      <selection activeCell="O36" sqref="O36"/>
    </sheetView>
    <sheetView workbookViewId="1"/>
  </sheetViews>
  <sheetFormatPr baseColWidth="10" defaultRowHeight="16" x14ac:dyDescent="0.2"/>
  <cols>
    <col min="1" max="1" width="10.8320312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Cost of Capital</vt:lpstr>
      <vt:lpstr>Assumptions</vt:lpstr>
      <vt:lpstr>Pro Forma</vt:lpstr>
      <vt:lpstr>Income</vt:lpstr>
      <vt:lpstr>Cashflow</vt:lpstr>
      <vt:lpstr>Balancesheet</vt:lpstr>
      <vt:lpstr>Yield</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Santos Borges</dc:creator>
  <cp:lastModifiedBy>Felipe Santos Borges</cp:lastModifiedBy>
  <cp:lastPrinted>2025-12-02T00:23:48Z</cp:lastPrinted>
  <dcterms:created xsi:type="dcterms:W3CDTF">2025-11-29T17:43:43Z</dcterms:created>
  <dcterms:modified xsi:type="dcterms:W3CDTF">2025-12-04T22:02:44Z</dcterms:modified>
</cp:coreProperties>
</file>